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gve\Documents\MolenNieuwe map\Molen\"/>
    </mc:Choice>
  </mc:AlternateContent>
  <xr:revisionPtr revIDLastSave="0" documentId="8_{A8D0B063-4A8E-4FE1-B7A2-6E39F56C1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Blad1!$B$4:$AD$65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2" i="1" l="1"/>
  <c r="T58" i="1"/>
  <c r="T57" i="1"/>
  <c r="T56" i="1"/>
  <c r="T55" i="1"/>
  <c r="T54" i="1"/>
  <c r="T60" i="1" s="1"/>
  <c r="S60" i="1"/>
  <c r="C36" i="1" l="1"/>
  <c r="R65" i="1"/>
  <c r="C32" i="1" l="1"/>
  <c r="C25" i="1"/>
  <c r="C35" i="1" l="1"/>
  <c r="C29" i="1"/>
  <c r="C28" i="1"/>
  <c r="R27" i="1" l="1"/>
  <c r="C33" i="1"/>
  <c r="C30" i="1"/>
  <c r="R60" i="1" l="1"/>
  <c r="U58" i="1"/>
  <c r="U64" i="1"/>
  <c r="R40" i="1" l="1"/>
  <c r="C40" i="1" s="1"/>
  <c r="D39" i="1" l="1"/>
  <c r="D26" i="1"/>
  <c r="S27" i="1"/>
  <c r="D36" i="1" l="1"/>
  <c r="D29" i="1" l="1"/>
  <c r="D30" i="1"/>
  <c r="D33" i="1"/>
  <c r="D32" i="1"/>
  <c r="S40" i="1" l="1"/>
  <c r="D40" i="1"/>
  <c r="E26" i="1" l="1"/>
  <c r="E27" i="1"/>
  <c r="E33" i="1"/>
  <c r="E10" i="1" l="1"/>
  <c r="E15" i="1"/>
  <c r="E36" i="1"/>
  <c r="T30" i="1" l="1"/>
  <c r="T27" i="1"/>
  <c r="E30" i="1"/>
  <c r="E32" i="1" l="1"/>
  <c r="T25" i="1" l="1"/>
  <c r="E29" i="1"/>
  <c r="E28" i="1"/>
  <c r="F36" i="1" l="1"/>
  <c r="T40" i="1"/>
  <c r="E42" i="1" s="1"/>
  <c r="E40" i="1"/>
  <c r="F15" i="1" l="1"/>
  <c r="U60" i="1" l="1"/>
  <c r="U27" i="1"/>
  <c r="F32" i="1" l="1"/>
  <c r="F30" i="1"/>
  <c r="F29" i="1"/>
  <c r="F33" i="1" l="1"/>
  <c r="F25" i="1"/>
  <c r="U40" i="1" l="1"/>
  <c r="F42" i="1" l="1"/>
  <c r="F39" i="1" s="1"/>
  <c r="F40" i="1" s="1"/>
  <c r="Y44" i="1"/>
  <c r="AC40" i="1"/>
  <c r="X40" i="1"/>
  <c r="I42" i="1" s="1"/>
  <c r="I40" i="1"/>
  <c r="J39" i="1"/>
  <c r="O36" i="1"/>
  <c r="M36" i="1"/>
  <c r="L36" i="1"/>
  <c r="K36" i="1"/>
  <c r="J36" i="1"/>
  <c r="H36" i="1"/>
  <c r="G36" i="1"/>
  <c r="M35" i="1"/>
  <c r="L35" i="1"/>
  <c r="K35" i="1"/>
  <c r="J35" i="1"/>
  <c r="K32" i="1"/>
  <c r="J32" i="1"/>
  <c r="H32" i="1"/>
  <c r="G32" i="1"/>
  <c r="M31" i="1"/>
  <c r="L31" i="1"/>
  <c r="K31" i="1"/>
  <c r="J31" i="1"/>
  <c r="G31" i="1"/>
  <c r="AB30" i="1"/>
  <c r="AB40" i="1" s="1"/>
  <c r="AA30" i="1"/>
  <c r="AA40" i="1" s="1"/>
  <c r="L42" i="1" s="1"/>
  <c r="Z30" i="1"/>
  <c r="Y30" i="1"/>
  <c r="V30" i="1"/>
  <c r="L30" i="1"/>
  <c r="K30" i="1"/>
  <c r="J30" i="1"/>
  <c r="G30" i="1"/>
  <c r="Y29" i="1"/>
  <c r="M29" i="1"/>
  <c r="L29" i="1"/>
  <c r="K29" i="1"/>
  <c r="H29" i="1"/>
  <c r="G29" i="1"/>
  <c r="H28" i="1"/>
  <c r="G28" i="1"/>
  <c r="Y27" i="1"/>
  <c r="W27" i="1"/>
  <c r="W40" i="1" s="1"/>
  <c r="H42" i="1" s="1"/>
  <c r="V27" i="1"/>
  <c r="K27" i="1"/>
  <c r="J27" i="1"/>
  <c r="J26" i="1"/>
  <c r="G26" i="1"/>
  <c r="Z25" i="1"/>
  <c r="Y25" i="1"/>
  <c r="V25" i="1"/>
  <c r="L25" i="1"/>
  <c r="K25" i="1"/>
  <c r="K40" i="1" s="1"/>
  <c r="J25" i="1"/>
  <c r="H25" i="1"/>
  <c r="G25" i="1"/>
  <c r="Z15" i="1"/>
  <c r="X15" i="1"/>
  <c r="I15" i="1"/>
  <c r="AC13" i="1"/>
  <c r="AC15" i="1" s="1"/>
  <c r="AB13" i="1"/>
  <c r="AA13" i="1"/>
  <c r="AA15" i="1" s="1"/>
  <c r="W13" i="1"/>
  <c r="V13" i="1" s="1"/>
  <c r="U13" i="1" s="1"/>
  <c r="L12" i="1"/>
  <c r="AC11" i="1"/>
  <c r="AB11" i="1"/>
  <c r="AB15" i="1" s="1"/>
  <c r="AA11" i="1"/>
  <c r="W11" i="1"/>
  <c r="W15" i="1" s="1"/>
  <c r="V11" i="1"/>
  <c r="O11" i="1"/>
  <c r="O15" i="1" s="1"/>
  <c r="M11" i="1"/>
  <c r="L11" i="1"/>
  <c r="L15" i="1" s="1"/>
  <c r="K11" i="1"/>
  <c r="J11" i="1"/>
  <c r="H11" i="1"/>
  <c r="H15" i="1" s="1"/>
  <c r="G11" i="1"/>
  <c r="O10" i="1"/>
  <c r="M10" i="1"/>
  <c r="L10" i="1"/>
  <c r="K10" i="1"/>
  <c r="G10" i="1"/>
  <c r="L40" i="1" l="1"/>
  <c r="V40" i="1"/>
  <c r="G42" i="1" s="1"/>
  <c r="Z40" i="1"/>
  <c r="K42" i="1" s="1"/>
  <c r="M42" i="1"/>
  <c r="M39" i="1" s="1"/>
  <c r="G15" i="1"/>
  <c r="K15" i="1"/>
  <c r="G40" i="1"/>
  <c r="O42" i="1"/>
  <c r="O39" i="1" s="1"/>
  <c r="O40" i="1" s="1"/>
  <c r="H40" i="1"/>
  <c r="Y46" i="1"/>
  <c r="Y40" i="1"/>
  <c r="J42" i="1" s="1"/>
  <c r="Y13" i="1" s="1"/>
  <c r="Y15" i="1" s="1"/>
  <c r="M15" i="1"/>
  <c r="J40" i="1"/>
  <c r="T13" i="1"/>
  <c r="T15" i="1" s="1"/>
  <c r="U15" i="1"/>
  <c r="M40" i="1"/>
  <c r="V15" i="1"/>
  <c r="J10" i="1"/>
  <c r="J15" i="1" s="1"/>
  <c r="J46" i="1"/>
</calcChain>
</file>

<file path=xl/sharedStrings.xml><?xml version="1.0" encoding="utf-8"?>
<sst xmlns="http://schemas.openxmlformats.org/spreadsheetml/2006/main" count="70" uniqueCount="61">
  <si>
    <t xml:space="preserve"> Stichting Molen Eendracht Maakt Macht</t>
  </si>
  <si>
    <t>bedragen x € 1</t>
  </si>
  <si>
    <t>Activa</t>
  </si>
  <si>
    <t>Passiva</t>
  </si>
  <si>
    <t>Vaste Activa</t>
  </si>
  <si>
    <t>Krediteuren</t>
  </si>
  <si>
    <t>Liquide middelen</t>
  </si>
  <si>
    <t xml:space="preserve">Kredietinstellingen </t>
  </si>
  <si>
    <t>Eigen Vermogen</t>
  </si>
  <si>
    <t>Totaal activa</t>
  </si>
  <si>
    <t>Totaal passiva</t>
  </si>
  <si>
    <t>Lasten</t>
  </si>
  <si>
    <t>Baten</t>
  </si>
  <si>
    <t>Subsidies/bijdragen</t>
  </si>
  <si>
    <t>Inkopen rondl./activiteiten</t>
  </si>
  <si>
    <t>Kosten PR/Communicatie</t>
  </si>
  <si>
    <t>Vrijwilligerskosten</t>
  </si>
  <si>
    <t>Rondl/Activiteiten</t>
  </si>
  <si>
    <t>Kantoor-Kantine-Aut.kosten</t>
  </si>
  <si>
    <t>Giften</t>
  </si>
  <si>
    <t>Huisv.kosten</t>
  </si>
  <si>
    <t>Rep. en onderh. Geb. +mach/br.</t>
  </si>
  <si>
    <t>Kosten gewassen/veldjes</t>
  </si>
  <si>
    <t>Afschrijv. Verb. Molen</t>
  </si>
  <si>
    <t>Rente, bankkosten</t>
  </si>
  <si>
    <t>Afschrijv.Bakh.+Kapsch.</t>
  </si>
  <si>
    <t xml:space="preserve">Resultaat </t>
  </si>
  <si>
    <t>Totalen</t>
  </si>
  <si>
    <t>Resultaat +</t>
  </si>
  <si>
    <t>Bouwkosten</t>
  </si>
  <si>
    <t>Voor accoord:</t>
  </si>
  <si>
    <t>Mia Verheijen</t>
  </si>
  <si>
    <t>Jos Tielen</t>
  </si>
  <si>
    <t>ref: HaVe</t>
  </si>
  <si>
    <t>AFSCHRIJV.</t>
  </si>
  <si>
    <t>Schuld Restauratiefonds</t>
  </si>
  <si>
    <t>Bestuurs-vergaderkosten</t>
  </si>
  <si>
    <t>Overige Kosten/Spellen</t>
  </si>
  <si>
    <t>Voorz. Onderh./Herb. Gebouwen</t>
  </si>
  <si>
    <t>Balans 31-12-2023</t>
  </si>
  <si>
    <t xml:space="preserve">  Stichting Molen Eendracht Maakt Macht te Meterik</t>
  </si>
  <si>
    <t>Bedragen x € 1</t>
  </si>
  <si>
    <t>Uitgave 125 jaar jubileum</t>
  </si>
  <si>
    <t>Ontv. Ivm. 125 jaar jubileum</t>
  </si>
  <si>
    <t>2024 t/m 15-10</t>
  </si>
  <si>
    <t>Tijdspaarfonds</t>
  </si>
  <si>
    <t>Inkopen graan incl. zakken</t>
  </si>
  <si>
    <t>Graan/Meelverkoop</t>
  </si>
  <si>
    <t>Rente</t>
  </si>
  <si>
    <t>Resultaten Rekening 2023 t/m 2025</t>
  </si>
  <si>
    <t xml:space="preserve">Kas </t>
  </si>
  <si>
    <t xml:space="preserve">RABO 0117794880 </t>
  </si>
  <si>
    <t xml:space="preserve">RABO 01236 360 00 </t>
  </si>
  <si>
    <t>Schuld Nat. Restauratiefonds</t>
  </si>
  <si>
    <t>Totaal 31/12-25</t>
  </si>
  <si>
    <t>Schuld Rest.fonds 31-12-25</t>
  </si>
  <si>
    <t>Aflossing  in 2025</t>
  </si>
  <si>
    <t>Specificatie saldo</t>
  </si>
  <si>
    <t>Verschil</t>
  </si>
  <si>
    <t>Meterik,  1 0 februari  2026</t>
  </si>
  <si>
    <t>In 2025 is extra aandacht besteed aan rep. en onderhoud gebouwen en machines.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</si>
</sst>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36" x14ac:knownFonts="1">
    <font>
      <sz val="11"/>
      <color theme="1"/>
      <name val="Calibri"/>
      <family val="2"/>
      <scheme val="minor"/>
    </font>
    <font>
      <b/>
      <sz val="14"/>
      <name val="Helv"/>
    </font>
    <font>
      <b/>
      <sz val="12"/>
      <name val="Helv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Helv"/>
    </font>
    <font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4"/>
      <color rgb="FFFF0000"/>
      <name val="Arial"/>
      <family val="2"/>
    </font>
    <font>
      <b/>
      <sz val="14"/>
      <color rgb="FFFF0000"/>
      <name val="Helv"/>
    </font>
    <font>
      <b/>
      <sz val="14"/>
      <color theme="1"/>
      <name val="Calibri"/>
      <family val="2"/>
    </font>
    <font>
      <b/>
      <sz val="10"/>
      <name val="Helv"/>
    </font>
    <font>
      <b/>
      <sz val="16"/>
      <color theme="1"/>
      <name val="Helv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Helv"/>
    </font>
    <font>
      <sz val="16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Helv"/>
    </font>
    <font>
      <sz val="14"/>
      <color rgb="FFFF0000"/>
      <name val="Helv"/>
    </font>
    <font>
      <sz val="12"/>
      <name val="Helv"/>
    </font>
    <font>
      <b/>
      <sz val="16"/>
      <color rgb="FFFF0000"/>
      <name val="Arial Narrow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5" xfId="0" applyBorder="1"/>
    <xf numFmtId="4" fontId="0" fillId="0" borderId="6" xfId="0" applyNumberFormat="1" applyBorder="1"/>
    <xf numFmtId="3" fontId="0" fillId="0" borderId="0" xfId="0" applyNumberFormat="1"/>
    <xf numFmtId="1" fontId="0" fillId="0" borderId="0" xfId="0" applyNumberFormat="1"/>
    <xf numFmtId="3" fontId="0" fillId="0" borderId="0" xfId="0" applyNumberFormat="1" applyFill="1"/>
    <xf numFmtId="1" fontId="0" fillId="0" borderId="0" xfId="0" applyNumberFormat="1" applyBorder="1"/>
    <xf numFmtId="3" fontId="0" fillId="0" borderId="0" xfId="0" applyNumberFormat="1" applyBorder="1"/>
    <xf numFmtId="3" fontId="0" fillId="0" borderId="5" xfId="0" applyNumberFormat="1" applyBorder="1"/>
    <xf numFmtId="1" fontId="0" fillId="0" borderId="5" xfId="0" applyNumberFormat="1" applyBorder="1"/>
    <xf numFmtId="3" fontId="2" fillId="0" borderId="0" xfId="0" applyNumberFormat="1" applyFont="1"/>
    <xf numFmtId="0" fontId="2" fillId="0" borderId="7" xfId="0" applyFont="1" applyBorder="1"/>
    <xf numFmtId="4" fontId="2" fillId="0" borderId="7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5" xfId="0" applyFont="1" applyBorder="1"/>
    <xf numFmtId="0" fontId="2" fillId="0" borderId="3" xfId="0" applyFont="1" applyBorder="1"/>
    <xf numFmtId="0" fontId="0" fillId="0" borderId="6" xfId="0" applyBorder="1"/>
    <xf numFmtId="0" fontId="0" fillId="0" borderId="0" xfId="0" applyFill="1"/>
    <xf numFmtId="4" fontId="0" fillId="0" borderId="0" xfId="0" applyNumberFormat="1" applyFill="1"/>
    <xf numFmtId="3" fontId="2" fillId="0" borderId="8" xfId="0" applyNumberFormat="1" applyFont="1" applyBorder="1"/>
    <xf numFmtId="4" fontId="2" fillId="0" borderId="0" xfId="0" applyNumberFormat="1" applyFont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 applyAlignment="1">
      <alignment horizontal="center"/>
    </xf>
    <xf numFmtId="0" fontId="9" fillId="0" borderId="0" xfId="0" applyFont="1"/>
    <xf numFmtId="0" fontId="2" fillId="0" borderId="5" xfId="0" applyFont="1" applyBorder="1" applyAlignment="1">
      <alignment horizontal="right"/>
    </xf>
    <xf numFmtId="1" fontId="15" fillId="0" borderId="0" xfId="0" applyNumberFormat="1" applyFont="1"/>
    <xf numFmtId="3" fontId="19" fillId="3" borderId="0" xfId="0" applyNumberFormat="1" applyFont="1" applyFill="1"/>
    <xf numFmtId="0" fontId="20" fillId="0" borderId="0" xfId="0" applyFont="1" applyFill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14" fontId="0" fillId="0" borderId="0" xfId="0" applyNumberFormat="1"/>
    <xf numFmtId="0" fontId="14" fillId="0" borderId="0" xfId="0" applyFont="1"/>
    <xf numFmtId="3" fontId="14" fillId="0" borderId="0" xfId="0" applyNumberFormat="1" applyFont="1"/>
    <xf numFmtId="3" fontId="13" fillId="0" borderId="0" xfId="0" applyNumberFormat="1" applyFont="1"/>
    <xf numFmtId="0" fontId="11" fillId="0" borderId="0" xfId="0" applyFont="1"/>
    <xf numFmtId="0" fontId="0" fillId="0" borderId="0" xfId="0" applyBorder="1"/>
    <xf numFmtId="0" fontId="21" fillId="0" borderId="0" xfId="0" applyFont="1"/>
    <xf numFmtId="0" fontId="0" fillId="0" borderId="9" xfId="0" applyBorder="1" applyAlignment="1"/>
    <xf numFmtId="0" fontId="0" fillId="0" borderId="11" xfId="0" applyBorder="1"/>
    <xf numFmtId="0" fontId="0" fillId="0" borderId="12" xfId="0" applyBorder="1"/>
    <xf numFmtId="0" fontId="4" fillId="3" borderId="12" xfId="0" applyFont="1" applyFill="1" applyBorder="1" applyAlignment="1">
      <alignment horizontal="center"/>
    </xf>
    <xf numFmtId="0" fontId="0" fillId="3" borderId="12" xfId="0" applyFill="1" applyBorder="1"/>
    <xf numFmtId="4" fontId="0" fillId="0" borderId="12" xfId="0" applyNumberFormat="1" applyBorder="1"/>
    <xf numFmtId="0" fontId="4" fillId="0" borderId="12" xfId="0" applyFont="1" applyBorder="1"/>
    <xf numFmtId="0" fontId="4" fillId="0" borderId="13" xfId="0" applyFont="1" applyBorder="1"/>
    <xf numFmtId="14" fontId="14" fillId="0" borderId="0" xfId="0" applyNumberFormat="1" applyFont="1"/>
    <xf numFmtId="0" fontId="4" fillId="0" borderId="0" xfId="0" applyFont="1" applyFill="1"/>
    <xf numFmtId="0" fontId="0" fillId="0" borderId="12" xfId="0" applyFill="1" applyBorder="1"/>
    <xf numFmtId="0" fontId="10" fillId="0" borderId="14" xfId="0" applyFont="1" applyBorder="1"/>
    <xf numFmtId="3" fontId="22" fillId="0" borderId="14" xfId="0" applyNumberFormat="1" applyFont="1" applyBorder="1" applyAlignment="1">
      <alignment horizontal="center"/>
    </xf>
    <xf numFmtId="3" fontId="11" fillId="0" borderId="14" xfId="0" applyNumberFormat="1" applyFont="1" applyBorder="1" applyAlignment="1">
      <alignment horizontal="center"/>
    </xf>
    <xf numFmtId="3" fontId="11" fillId="0" borderId="14" xfId="0" applyNumberFormat="1" applyFont="1" applyBorder="1"/>
    <xf numFmtId="0" fontId="9" fillId="0" borderId="14" xfId="0" applyFont="1" applyBorder="1"/>
    <xf numFmtId="3" fontId="12" fillId="0" borderId="14" xfId="0" applyNumberFormat="1" applyFont="1" applyBorder="1" applyAlignment="1">
      <alignment horizontal="center"/>
    </xf>
    <xf numFmtId="3" fontId="16" fillId="0" borderId="14" xfId="0" applyNumberFormat="1" applyFont="1" applyBorder="1" applyAlignment="1">
      <alignment horizontal="center"/>
    </xf>
    <xf numFmtId="3" fontId="11" fillId="0" borderId="14" xfId="0" applyNumberFormat="1" applyFont="1" applyFill="1" applyBorder="1" applyAlignment="1">
      <alignment horizontal="center"/>
    </xf>
    <xf numFmtId="3" fontId="11" fillId="2" borderId="14" xfId="0" applyNumberFormat="1" applyFont="1" applyFill="1" applyBorder="1" applyAlignment="1">
      <alignment horizontal="center"/>
    </xf>
    <xf numFmtId="3" fontId="12" fillId="0" borderId="14" xfId="0" applyNumberFormat="1" applyFont="1" applyFill="1" applyBorder="1" applyAlignment="1">
      <alignment horizontal="center"/>
    </xf>
    <xf numFmtId="3" fontId="22" fillId="0" borderId="14" xfId="0" applyNumberFormat="1" applyFont="1" applyBorder="1"/>
    <xf numFmtId="3" fontId="11" fillId="0" borderId="14" xfId="0" applyNumberFormat="1" applyFont="1" applyFill="1" applyBorder="1"/>
    <xf numFmtId="3" fontId="22" fillId="0" borderId="14" xfId="0" applyNumberFormat="1" applyFont="1" applyFill="1" applyBorder="1"/>
    <xf numFmtId="3" fontId="23" fillId="0" borderId="14" xfId="0" applyNumberFormat="1" applyFont="1" applyBorder="1"/>
    <xf numFmtId="3" fontId="0" fillId="0" borderId="14" xfId="0" applyNumberFormat="1" applyBorder="1"/>
    <xf numFmtId="1" fontId="0" fillId="0" borderId="14" xfId="0" applyNumberFormat="1" applyBorder="1"/>
    <xf numFmtId="0" fontId="0" fillId="0" borderId="14" xfId="0" applyBorder="1"/>
    <xf numFmtId="4" fontId="0" fillId="0" borderId="14" xfId="0" applyNumberFormat="1" applyBorder="1"/>
    <xf numFmtId="3" fontId="24" fillId="0" borderId="14" xfId="0" applyNumberFormat="1" applyFont="1" applyBorder="1"/>
    <xf numFmtId="3" fontId="17" fillId="0" borderId="14" xfId="0" applyNumberFormat="1" applyFont="1" applyBorder="1" applyAlignment="1">
      <alignment horizontal="center"/>
    </xf>
    <xf numFmtId="3" fontId="18" fillId="0" borderId="14" xfId="0" applyNumberFormat="1" applyFont="1" applyBorder="1" applyAlignment="1">
      <alignment horizontal="center"/>
    </xf>
    <xf numFmtId="3" fontId="13" fillId="3" borderId="14" xfId="0" applyNumberFormat="1" applyFont="1" applyFill="1" applyBorder="1" applyAlignment="1">
      <alignment horizontal="center"/>
    </xf>
    <xf numFmtId="0" fontId="2" fillId="0" borderId="14" xfId="0" applyFont="1" applyBorder="1"/>
    <xf numFmtId="3" fontId="9" fillId="0" borderId="14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4" xfId="0" applyNumberFormat="1" applyFont="1" applyBorder="1"/>
    <xf numFmtId="164" fontId="9" fillId="0" borderId="14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" fontId="5" fillId="0" borderId="14" xfId="0" applyNumberFormat="1" applyFont="1" applyBorder="1"/>
    <xf numFmtId="3" fontId="5" fillId="0" borderId="14" xfId="0" applyNumberFormat="1" applyFont="1" applyBorder="1"/>
    <xf numFmtId="4" fontId="5" fillId="0" borderId="14" xfId="0" applyNumberFormat="1" applyFont="1" applyBorder="1"/>
    <xf numFmtId="0" fontId="5" fillId="0" borderId="14" xfId="0" applyFont="1" applyBorder="1"/>
    <xf numFmtId="4" fontId="0" fillId="0" borderId="0" xfId="0" applyNumberFormat="1" applyBorder="1"/>
    <xf numFmtId="0" fontId="8" fillId="0" borderId="0" xfId="0" applyFont="1" applyBorder="1" applyAlignment="1">
      <alignment horizontal="center"/>
    </xf>
    <xf numFmtId="4" fontId="2" fillId="0" borderId="14" xfId="0" applyNumberFormat="1" applyFont="1" applyBorder="1"/>
    <xf numFmtId="4" fontId="9" fillId="0" borderId="14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0" fontId="11" fillId="0" borderId="14" xfId="0" applyFont="1" applyBorder="1"/>
    <xf numFmtId="0" fontId="13" fillId="0" borderId="14" xfId="0" applyFont="1" applyBorder="1"/>
    <xf numFmtId="14" fontId="13" fillId="0" borderId="14" xfId="0" applyNumberFormat="1" applyFont="1" applyBorder="1"/>
    <xf numFmtId="4" fontId="9" fillId="0" borderId="16" xfId="0" applyNumberFormat="1" applyFont="1" applyBorder="1" applyAlignment="1">
      <alignment horizontal="center"/>
    </xf>
    <xf numFmtId="0" fontId="9" fillId="0" borderId="14" xfId="0" applyFont="1" applyFill="1" applyBorder="1"/>
    <xf numFmtId="0" fontId="0" fillId="0" borderId="14" xfId="0" applyFill="1" applyBorder="1"/>
    <xf numFmtId="0" fontId="5" fillId="0" borderId="1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25" fillId="0" borderId="0" xfId="0" applyFont="1" applyAlignment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/>
    <xf numFmtId="1" fontId="12" fillId="0" borderId="0" xfId="0" applyNumberFormat="1" applyFont="1" applyBorder="1" applyAlignment="1"/>
    <xf numFmtId="1" fontId="12" fillId="0" borderId="0" xfId="0" applyNumberFormat="1" applyFont="1" applyBorder="1"/>
    <xf numFmtId="1" fontId="12" fillId="0" borderId="10" xfId="0" applyNumberFormat="1" applyFont="1" applyBorder="1"/>
    <xf numFmtId="0" fontId="11" fillId="0" borderId="9" xfId="0" applyFont="1" applyBorder="1"/>
    <xf numFmtId="0" fontId="13" fillId="0" borderId="0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5" xfId="0" applyFont="1" applyBorder="1"/>
    <xf numFmtId="0" fontId="1" fillId="0" borderId="15" xfId="0" applyFont="1" applyBorder="1"/>
    <xf numFmtId="0" fontId="1" fillId="0" borderId="15" xfId="0" applyNumberFormat="1" applyFont="1" applyBorder="1"/>
    <xf numFmtId="3" fontId="26" fillId="0" borderId="14" xfId="0" applyNumberFormat="1" applyFont="1" applyFill="1" applyBorder="1" applyAlignment="1">
      <alignment horizontal="center"/>
    </xf>
    <xf numFmtId="3" fontId="27" fillId="0" borderId="14" xfId="0" applyNumberFormat="1" applyFont="1" applyBorder="1" applyAlignment="1">
      <alignment horizontal="center"/>
    </xf>
    <xf numFmtId="3" fontId="28" fillId="0" borderId="14" xfId="0" applyNumberFormat="1" applyFont="1" applyBorder="1" applyAlignment="1">
      <alignment horizontal="center"/>
    </xf>
    <xf numFmtId="3" fontId="29" fillId="0" borderId="14" xfId="0" applyNumberFormat="1" applyFont="1" applyBorder="1" applyAlignment="1">
      <alignment horizontal="center"/>
    </xf>
    <xf numFmtId="0" fontId="13" fillId="0" borderId="0" xfId="0" applyFont="1" applyBorder="1"/>
    <xf numFmtId="3" fontId="0" fillId="0" borderId="14" xfId="0" applyNumberFormat="1" applyFont="1" applyBorder="1" applyAlignment="1">
      <alignment horizontal="center"/>
    </xf>
    <xf numFmtId="164" fontId="30" fillId="0" borderId="14" xfId="0" applyNumberFormat="1" applyFont="1" applyBorder="1" applyAlignment="1">
      <alignment horizontal="center"/>
    </xf>
    <xf numFmtId="3" fontId="30" fillId="0" borderId="14" xfId="0" applyNumberFormat="1" applyFont="1" applyBorder="1" applyAlignment="1">
      <alignment horizontal="center"/>
    </xf>
    <xf numFmtId="3" fontId="22" fillId="2" borderId="14" xfId="0" applyNumberFormat="1" applyFont="1" applyFill="1" applyBorder="1" applyAlignment="1">
      <alignment horizontal="center"/>
    </xf>
    <xf numFmtId="3" fontId="31" fillId="0" borderId="14" xfId="0" applyNumberFormat="1" applyFont="1" applyBorder="1" applyAlignment="1">
      <alignment horizontal="center"/>
    </xf>
    <xf numFmtId="3" fontId="32" fillId="0" borderId="14" xfId="0" applyNumberFormat="1" applyFont="1" applyBorder="1" applyAlignment="1">
      <alignment horizontal="center"/>
    </xf>
    <xf numFmtId="3" fontId="33" fillId="0" borderId="14" xfId="0" applyNumberFormat="1" applyFont="1" applyBorder="1" applyAlignment="1">
      <alignment horizontal="center"/>
    </xf>
    <xf numFmtId="0" fontId="34" fillId="0" borderId="14" xfId="0" applyFont="1" applyBorder="1"/>
    <xf numFmtId="0" fontId="8" fillId="0" borderId="17" xfId="0" applyFont="1" applyFill="1" applyBorder="1" applyAlignment="1">
      <alignment horizontal="center"/>
    </xf>
    <xf numFmtId="0" fontId="11" fillId="0" borderId="17" xfId="0" applyFont="1" applyBorder="1"/>
    <xf numFmtId="4" fontId="11" fillId="0" borderId="18" xfId="0" applyNumberFormat="1" applyFont="1" applyBorder="1"/>
    <xf numFmtId="4" fontId="11" fillId="0" borderId="17" xfId="0" applyNumberFormat="1" applyFont="1" applyBorder="1"/>
    <xf numFmtId="4" fontId="13" fillId="0" borderId="17" xfId="0" applyNumberFormat="1" applyFont="1" applyBorder="1"/>
    <xf numFmtId="0" fontId="0" fillId="0" borderId="0" xfId="0" applyFill="1" applyBorder="1"/>
    <xf numFmtId="0" fontId="0" fillId="0" borderId="19" xfId="0" applyFill="1" applyBorder="1"/>
    <xf numFmtId="3" fontId="35" fillId="0" borderId="14" xfId="0" applyNumberFormat="1" applyFont="1" applyBorder="1" applyAlignment="1">
      <alignment horizontal="center"/>
    </xf>
    <xf numFmtId="3" fontId="13" fillId="0" borderId="14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13" fillId="2" borderId="14" xfId="0" applyNumberFormat="1" applyFont="1" applyFill="1" applyBorder="1" applyAlignment="1">
      <alignment horizontal="center"/>
    </xf>
    <xf numFmtId="3" fontId="13" fillId="0" borderId="14" xfId="0" applyNumberFormat="1" applyFont="1" applyFill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13" fillId="0" borderId="14" xfId="0" applyNumberFormat="1" applyFont="1" applyBorder="1"/>
    <xf numFmtId="3" fontId="13" fillId="0" borderId="14" xfId="0" applyNumberFormat="1" applyFont="1" applyFill="1" applyBorder="1"/>
    <xf numFmtId="3" fontId="14" fillId="0" borderId="14" xfId="0" applyNumberFormat="1" applyFont="1" applyBorder="1"/>
    <xf numFmtId="0" fontId="9" fillId="0" borderId="17" xfId="0" applyFont="1" applyFill="1" applyBorder="1"/>
    <xf numFmtId="0" fontId="9" fillId="0" borderId="17" xfId="0" applyFont="1" applyBorder="1"/>
    <xf numFmtId="0" fontId="8" fillId="0" borderId="18" xfId="0" applyFont="1" applyBorder="1"/>
    <xf numFmtId="0" fontId="8" fillId="0" borderId="17" xfId="0" applyFont="1" applyBorder="1"/>
    <xf numFmtId="0" fontId="0" fillId="0" borderId="17" xfId="0" applyBorder="1"/>
    <xf numFmtId="0" fontId="9" fillId="0" borderId="0" xfId="0" applyFont="1" applyBorder="1"/>
    <xf numFmtId="0" fontId="8" fillId="0" borderId="0" xfId="0" applyFont="1" applyBorder="1"/>
    <xf numFmtId="4" fontId="8" fillId="0" borderId="0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center"/>
    </xf>
    <xf numFmtId="3" fontId="33" fillId="0" borderId="1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D66"/>
  <sheetViews>
    <sheetView tabSelected="1" topLeftCell="A36" workbookViewId="0">
      <selection activeCell="D54" sqref="D54"/>
    </sheetView>
  </sheetViews>
  <sheetFormatPr defaultRowHeight="14.4" x14ac:dyDescent="0.3"/>
  <cols>
    <col min="2" max="2" width="32.6640625" customWidth="1"/>
    <col min="3" max="3" width="16.88671875" customWidth="1"/>
    <col min="4" max="4" width="15.88671875" customWidth="1"/>
    <col min="5" max="5" width="16.6640625" customWidth="1"/>
    <col min="6" max="6" width="14.109375" hidden="1" customWidth="1"/>
    <col min="7" max="7" width="12.109375" hidden="1" customWidth="1"/>
    <col min="8" max="8" width="10.44140625" hidden="1" customWidth="1"/>
    <col min="9" max="9" width="11.88671875" hidden="1" customWidth="1"/>
    <col min="10" max="16" width="0" hidden="1" customWidth="1"/>
    <col min="17" max="17" width="32.33203125" customWidth="1"/>
    <col min="18" max="18" width="15.88671875" customWidth="1"/>
    <col min="19" max="19" width="14.88671875" customWidth="1"/>
    <col min="20" max="20" width="13.44140625" customWidth="1"/>
    <col min="21" max="21" width="13.5546875" hidden="1" customWidth="1"/>
    <col min="22" max="22" width="11.6640625" hidden="1" customWidth="1"/>
    <col min="23" max="23" width="11.5546875" hidden="1" customWidth="1"/>
    <col min="24" max="24" width="11" hidden="1" customWidth="1"/>
    <col min="25" max="29" width="0" hidden="1" customWidth="1"/>
    <col min="30" max="30" width="0.109375" customWidth="1"/>
  </cols>
  <sheetData>
    <row r="3" spans="2:29" ht="19.8" x14ac:dyDescent="0.3">
      <c r="C3" s="175"/>
      <c r="D3" s="175"/>
      <c r="E3" s="175"/>
      <c r="F3" s="175"/>
      <c r="G3" s="175"/>
      <c r="H3" s="175"/>
      <c r="I3" s="175"/>
      <c r="J3" s="175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</row>
    <row r="4" spans="2:29" ht="18" x14ac:dyDescent="0.35">
      <c r="D4" s="3" t="s">
        <v>59</v>
      </c>
      <c r="H4" s="1"/>
      <c r="O4" s="2"/>
      <c r="Q4" s="3"/>
      <c r="R4" s="3"/>
      <c r="S4" s="3" t="s">
        <v>33</v>
      </c>
      <c r="T4" s="3"/>
      <c r="U4" s="3"/>
      <c r="V4" s="3"/>
      <c r="W4" s="3"/>
      <c r="X4" s="3"/>
      <c r="Y4" s="3"/>
      <c r="Z4" s="3"/>
      <c r="AC4" s="2"/>
    </row>
    <row r="5" spans="2:29" ht="17.399999999999999" hidden="1" x14ac:dyDescent="0.3">
      <c r="B5" s="4" t="s">
        <v>39</v>
      </c>
      <c r="C5" s="4"/>
      <c r="D5" s="4"/>
      <c r="E5" s="4"/>
      <c r="F5" s="4"/>
      <c r="G5" s="4"/>
      <c r="O5" s="2"/>
      <c r="AC5" s="2"/>
    </row>
    <row r="6" spans="2:29" ht="18" hidden="1" x14ac:dyDescent="0.35">
      <c r="B6" s="5"/>
      <c r="C6" s="5"/>
      <c r="D6" s="5"/>
      <c r="E6" s="5"/>
      <c r="F6" s="118" t="s">
        <v>41</v>
      </c>
      <c r="G6" s="5"/>
      <c r="I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2:29" ht="15" hidden="1" thickBot="1" x14ac:dyDescent="0.35">
      <c r="B7" s="6"/>
      <c r="C7" s="6"/>
      <c r="D7" s="6"/>
      <c r="E7" s="6"/>
      <c r="F7" s="6"/>
      <c r="G7" s="6"/>
      <c r="H7" s="7" t="s">
        <v>1</v>
      </c>
      <c r="I7" s="6"/>
      <c r="J7" s="6"/>
      <c r="K7" s="6"/>
      <c r="L7" s="6"/>
      <c r="M7" s="6"/>
      <c r="N7" s="6"/>
      <c r="O7" s="8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2"/>
    </row>
    <row r="8" spans="2:29" ht="18" hidden="1" x14ac:dyDescent="0.35">
      <c r="B8" s="9"/>
      <c r="C8" s="58"/>
      <c r="D8" s="58" t="s">
        <v>44</v>
      </c>
      <c r="E8" s="128">
        <v>2023</v>
      </c>
      <c r="F8" s="129">
        <v>2022</v>
      </c>
      <c r="G8" s="129">
        <v>2021</v>
      </c>
      <c r="H8" s="130">
        <v>2020</v>
      </c>
      <c r="I8" s="130">
        <v>2019</v>
      </c>
      <c r="J8" s="130">
        <v>2018</v>
      </c>
      <c r="K8" s="130">
        <v>2017</v>
      </c>
      <c r="L8" s="131">
        <v>2016</v>
      </c>
      <c r="M8" s="131">
        <v>2015</v>
      </c>
      <c r="N8" s="131"/>
      <c r="O8" s="132">
        <v>2014</v>
      </c>
      <c r="P8" s="130"/>
      <c r="Q8" s="130"/>
      <c r="R8" s="121"/>
      <c r="S8" s="58" t="s">
        <v>44</v>
      </c>
      <c r="T8" s="128">
        <v>2023</v>
      </c>
      <c r="U8" s="130">
        <v>2022</v>
      </c>
      <c r="V8" s="130">
        <v>2021</v>
      </c>
      <c r="W8" s="10">
        <v>2020</v>
      </c>
      <c r="X8" s="10">
        <v>2019</v>
      </c>
      <c r="Y8" s="10">
        <v>2018</v>
      </c>
      <c r="Z8" s="10">
        <v>2017</v>
      </c>
      <c r="AA8" s="11">
        <v>2016</v>
      </c>
      <c r="AB8" s="11">
        <v>2015</v>
      </c>
      <c r="AC8" s="12">
        <v>2014</v>
      </c>
    </row>
    <row r="9" spans="2:29" ht="16.2" hidden="1" thickBot="1" x14ac:dyDescent="0.35">
      <c r="B9" s="93" t="s">
        <v>2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107"/>
      <c r="P9" s="93"/>
      <c r="Q9" s="93" t="s">
        <v>3</v>
      </c>
      <c r="R9" s="93"/>
      <c r="S9" s="93"/>
      <c r="T9" s="93"/>
      <c r="U9" s="93"/>
      <c r="V9" s="93"/>
      <c r="W9" s="14"/>
      <c r="X9" s="14"/>
      <c r="Y9" s="14"/>
      <c r="Z9" s="14"/>
      <c r="AA9" s="15"/>
      <c r="AB9" s="15"/>
      <c r="AC9" s="16"/>
    </row>
    <row r="10" spans="2:29" hidden="1" x14ac:dyDescent="0.3">
      <c r="B10" s="87" t="s">
        <v>4</v>
      </c>
      <c r="C10" s="87"/>
      <c r="D10" s="87"/>
      <c r="E10" s="85">
        <f>F10-3200-6172</f>
        <v>141568</v>
      </c>
      <c r="F10" s="85">
        <v>150940</v>
      </c>
      <c r="G10" s="85">
        <f>169684-3200-6172</f>
        <v>160312</v>
      </c>
      <c r="H10" s="85">
        <v>169684</v>
      </c>
      <c r="I10" s="85">
        <v>179056</v>
      </c>
      <c r="J10" s="85">
        <f>K10-3200+158828</f>
        <v>188428</v>
      </c>
      <c r="K10" s="85">
        <f>L10-3200</f>
        <v>32800</v>
      </c>
      <c r="L10" s="85">
        <f>39200-3200</f>
        <v>36000</v>
      </c>
      <c r="M10" s="85">
        <f>42400-3200</f>
        <v>39200</v>
      </c>
      <c r="N10" s="85"/>
      <c r="O10" s="85">
        <f>45600-3200</f>
        <v>42400</v>
      </c>
      <c r="P10" s="86"/>
      <c r="Q10" s="101" t="s">
        <v>5</v>
      </c>
      <c r="R10" s="101"/>
      <c r="S10" s="101"/>
      <c r="T10" s="102">
        <v>474.58</v>
      </c>
      <c r="U10" s="103"/>
      <c r="V10" s="102">
        <v>0</v>
      </c>
      <c r="W10" s="17">
        <v>0</v>
      </c>
      <c r="X10" s="17">
        <v>905.51</v>
      </c>
      <c r="Y10" s="18"/>
      <c r="Z10" s="18"/>
      <c r="AA10" s="18"/>
      <c r="AB10" s="18"/>
      <c r="AC10" s="18"/>
    </row>
    <row r="11" spans="2:29" hidden="1" x14ac:dyDescent="0.3">
      <c r="B11" s="87" t="s">
        <v>6</v>
      </c>
      <c r="C11" s="87"/>
      <c r="D11" s="87"/>
      <c r="E11" s="85">
        <v>36917.86</v>
      </c>
      <c r="F11" s="85">
        <v>34058.49</v>
      </c>
      <c r="G11" s="85">
        <f>25007.13+574.84+120.37</f>
        <v>25702.34</v>
      </c>
      <c r="H11" s="85">
        <f>163.04+23753.01+430</f>
        <v>24346.05</v>
      </c>
      <c r="I11" s="85">
        <v>21059.439999999999</v>
      </c>
      <c r="J11" s="85">
        <f>2517.6+4882.39+224.09</f>
        <v>7624.08</v>
      </c>
      <c r="K11" s="85">
        <f>182.82+10250+6794.47+211.88</f>
        <v>17439.170000000002</v>
      </c>
      <c r="L11" s="85">
        <f>4887.82+99588.49+211.88</f>
        <v>104688.19</v>
      </c>
      <c r="M11" s="85">
        <f>7827.26+4560.65</f>
        <v>12387.91</v>
      </c>
      <c r="N11" s="85"/>
      <c r="O11" s="85">
        <f>5523+3338</f>
        <v>8861</v>
      </c>
      <c r="P11" s="86"/>
      <c r="Q11" s="86" t="s">
        <v>7</v>
      </c>
      <c r="R11" s="86"/>
      <c r="S11" s="86"/>
      <c r="T11" s="85">
        <v>5762.59</v>
      </c>
      <c r="U11" s="85">
        <v>7600.77</v>
      </c>
      <c r="V11" s="85">
        <f>9398.79</f>
        <v>9398.7900000000009</v>
      </c>
      <c r="W11" s="19">
        <f>11157.84</f>
        <v>11157.84</v>
      </c>
      <c r="X11" s="17">
        <v>12878.63</v>
      </c>
      <c r="Y11" s="17">
        <v>14562.01</v>
      </c>
      <c r="Z11" s="17">
        <v>16210.93</v>
      </c>
      <c r="AA11" s="17">
        <f>17824.35+13613.29</f>
        <v>31437.64</v>
      </c>
      <c r="AB11" s="17">
        <f>19403.04+14702.37</f>
        <v>34105.410000000003</v>
      </c>
      <c r="AC11" s="17">
        <f>20948+15791</f>
        <v>36739</v>
      </c>
    </row>
    <row r="12" spans="2:29" hidden="1" x14ac:dyDescent="0.3">
      <c r="B12" s="87"/>
      <c r="C12" s="87"/>
      <c r="D12" s="87"/>
      <c r="E12" s="85"/>
      <c r="F12" s="88"/>
      <c r="G12" s="85"/>
      <c r="H12" s="85"/>
      <c r="I12" s="85"/>
      <c r="J12" s="85">
        <v>0</v>
      </c>
      <c r="K12" s="85">
        <v>5082.3900000000003</v>
      </c>
      <c r="L12" s="85">
        <f>-112000+20794.38+0.4</f>
        <v>-91205.22</v>
      </c>
      <c r="M12" s="85"/>
      <c r="N12" s="85"/>
      <c r="O12" s="85"/>
      <c r="P12" s="86"/>
      <c r="Q12" s="101" t="s">
        <v>38</v>
      </c>
      <c r="R12" s="101"/>
      <c r="S12" s="101"/>
      <c r="T12" s="102">
        <v>132527</v>
      </c>
      <c r="U12" s="102">
        <v>132527</v>
      </c>
      <c r="V12" s="102">
        <v>132527</v>
      </c>
      <c r="W12" s="17">
        <v>132526.76999999999</v>
      </c>
      <c r="X12" s="17">
        <v>132526.76999999999</v>
      </c>
      <c r="Y12" s="17">
        <v>132526.76999999999</v>
      </c>
      <c r="Z12" s="17"/>
      <c r="AA12" s="17"/>
      <c r="AB12" s="17"/>
      <c r="AC12" s="18"/>
    </row>
    <row r="13" spans="2:29" hidden="1" x14ac:dyDescent="0.3">
      <c r="B13" s="104"/>
      <c r="C13" s="104"/>
      <c r="D13" s="104"/>
      <c r="E13" s="102"/>
      <c r="F13" s="103"/>
      <c r="G13" s="102"/>
      <c r="H13" s="85">
        <v>0</v>
      </c>
      <c r="I13" s="85">
        <v>240</v>
      </c>
      <c r="J13" s="87"/>
      <c r="K13" s="85"/>
      <c r="L13" s="85"/>
      <c r="M13" s="86"/>
      <c r="N13" s="86"/>
      <c r="O13" s="86"/>
      <c r="P13" s="86"/>
      <c r="Q13" s="86" t="s">
        <v>8</v>
      </c>
      <c r="R13" s="86"/>
      <c r="S13" s="86"/>
      <c r="T13" s="85">
        <f>U13+E39</f>
        <v>39721.589999999997</v>
      </c>
      <c r="U13" s="85">
        <f>V13+782.27</f>
        <v>44870.719999999994</v>
      </c>
      <c r="V13" s="85">
        <f>W13-6256.66-0.33</f>
        <v>44088.45</v>
      </c>
      <c r="W13" s="21">
        <f>X13-3699.09</f>
        <v>50345.440000000002</v>
      </c>
      <c r="X13" s="21">
        <v>54044.53</v>
      </c>
      <c r="Y13" s="21">
        <f>Z13+J42</f>
        <v>48963.299999999988</v>
      </c>
      <c r="Z13" s="21">
        <v>39110.629999999997</v>
      </c>
      <c r="AA13" s="21">
        <f>AB13+L39</f>
        <v>18045.43</v>
      </c>
      <c r="AB13" s="21">
        <f>20683-3200</f>
        <v>17483</v>
      </c>
      <c r="AC13" s="21">
        <f>17722-3200</f>
        <v>14522</v>
      </c>
    </row>
    <row r="14" spans="2:29" ht="15" hidden="1" thickBot="1" x14ac:dyDescent="0.35">
      <c r="B14" s="58"/>
      <c r="C14" s="58"/>
      <c r="D14" s="58"/>
      <c r="E14" s="21"/>
      <c r="F14" s="105"/>
      <c r="G14" s="21"/>
      <c r="H14" s="21"/>
      <c r="I14" s="21"/>
      <c r="J14" s="58"/>
      <c r="K14" s="21"/>
      <c r="L14" s="21"/>
      <c r="M14" s="20"/>
      <c r="N14" s="20"/>
      <c r="O14" s="20"/>
      <c r="P14" s="20"/>
      <c r="Q14" s="20"/>
      <c r="R14" s="20"/>
      <c r="S14" s="20"/>
      <c r="T14" s="21"/>
      <c r="U14" s="105"/>
      <c r="V14" s="21"/>
      <c r="W14" s="22"/>
      <c r="X14" s="23"/>
      <c r="Y14" s="23"/>
      <c r="Z14" s="23"/>
      <c r="AA14" s="22"/>
      <c r="AB14" s="23"/>
      <c r="AC14" s="23"/>
    </row>
    <row r="15" spans="2:29" ht="15.6" hidden="1" x14ac:dyDescent="0.3">
      <c r="B15" s="93" t="s">
        <v>9</v>
      </c>
      <c r="C15" s="93"/>
      <c r="D15" s="93"/>
      <c r="E15" s="96">
        <f t="shared" ref="E15:M15" si="0">SUM(E10:E14)</f>
        <v>178485.86</v>
      </c>
      <c r="F15" s="96">
        <f t="shared" si="0"/>
        <v>184998.49</v>
      </c>
      <c r="G15" s="96">
        <f t="shared" si="0"/>
        <v>186014.34</v>
      </c>
      <c r="H15" s="96">
        <f t="shared" si="0"/>
        <v>194030.05</v>
      </c>
      <c r="I15" s="96">
        <f t="shared" si="0"/>
        <v>200355.44</v>
      </c>
      <c r="J15" s="96">
        <f t="shared" si="0"/>
        <v>196052.08</v>
      </c>
      <c r="K15" s="96">
        <f t="shared" si="0"/>
        <v>55321.56</v>
      </c>
      <c r="L15" s="96">
        <f t="shared" si="0"/>
        <v>49482.97</v>
      </c>
      <c r="M15" s="96">
        <f t="shared" si="0"/>
        <v>51587.91</v>
      </c>
      <c r="N15" s="96"/>
      <c r="O15" s="96">
        <f>SUM(O10:O14)</f>
        <v>51261</v>
      </c>
      <c r="P15" s="96"/>
      <c r="Q15" s="96" t="s">
        <v>10</v>
      </c>
      <c r="R15" s="96"/>
      <c r="S15" s="96"/>
      <c r="T15" s="96">
        <f t="shared" ref="T15:AC15" si="1">SUM(T10:T14)</f>
        <v>178485.76000000001</v>
      </c>
      <c r="U15" s="96">
        <f t="shared" si="1"/>
        <v>184998.49</v>
      </c>
      <c r="V15" s="96">
        <f t="shared" si="1"/>
        <v>186014.24</v>
      </c>
      <c r="W15" s="24">
        <f t="shared" si="1"/>
        <v>194030.05</v>
      </c>
      <c r="X15" s="24">
        <f t="shared" si="1"/>
        <v>200355.43999999997</v>
      </c>
      <c r="Y15" s="24">
        <f t="shared" si="1"/>
        <v>196052.08</v>
      </c>
      <c r="Z15" s="24">
        <f t="shared" si="1"/>
        <v>55321.56</v>
      </c>
      <c r="AA15" s="24">
        <f t="shared" si="1"/>
        <v>49483.07</v>
      </c>
      <c r="AB15" s="24">
        <f t="shared" si="1"/>
        <v>51588.41</v>
      </c>
      <c r="AC15" s="24">
        <f t="shared" si="1"/>
        <v>51261</v>
      </c>
    </row>
    <row r="16" spans="2:29" ht="16.2" hidden="1" thickBot="1" x14ac:dyDescent="0.35">
      <c r="B16" s="3"/>
      <c r="C16" s="3"/>
      <c r="D16" s="3"/>
      <c r="E16" s="25"/>
      <c r="F16" s="25"/>
      <c r="G16" s="25"/>
      <c r="H16" s="25"/>
      <c r="I16" s="25"/>
      <c r="J16" s="26"/>
      <c r="K16" s="26"/>
      <c r="L16" s="26"/>
      <c r="M16" s="26"/>
      <c r="N16" s="3"/>
      <c r="O16" s="26"/>
      <c r="P16" s="3"/>
      <c r="Q16" s="3"/>
      <c r="R16" s="3"/>
      <c r="S16" s="3"/>
      <c r="T16" s="25"/>
      <c r="U16" s="25"/>
      <c r="V16" s="25"/>
      <c r="W16" s="25"/>
      <c r="X16" s="25"/>
      <c r="Y16" s="26"/>
      <c r="Z16" s="26"/>
      <c r="AA16" s="26"/>
      <c r="AB16" s="26"/>
      <c r="AC16" s="26"/>
    </row>
    <row r="17" spans="2:30" ht="16.2" hidden="1" thickTop="1" x14ac:dyDescent="0.3">
      <c r="I17" s="27"/>
      <c r="O17" s="2"/>
      <c r="AC17" s="2"/>
    </row>
    <row r="18" spans="2:30" ht="19.8" x14ac:dyDescent="0.35">
      <c r="B18" s="59"/>
      <c r="C18" s="59"/>
      <c r="D18" s="59"/>
      <c r="F18" s="175" t="s">
        <v>40</v>
      </c>
      <c r="G18" s="175"/>
      <c r="H18" s="175"/>
      <c r="I18" s="175"/>
      <c r="J18" s="175"/>
      <c r="K18" s="175"/>
      <c r="L18" s="175"/>
      <c r="M18" s="175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</row>
    <row r="19" spans="2:30" ht="19.8" x14ac:dyDescent="0.35">
      <c r="B19" s="59" t="s">
        <v>49</v>
      </c>
      <c r="C19" s="68"/>
      <c r="D19" s="68"/>
      <c r="E19" s="53"/>
      <c r="O19" s="2"/>
      <c r="AC19" s="2"/>
    </row>
    <row r="20" spans="2:30" ht="20.399999999999999" thickBot="1" x14ac:dyDescent="0.35"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</row>
    <row r="21" spans="2:30" ht="15" thickBot="1" x14ac:dyDescent="0.35">
      <c r="B21" s="61"/>
      <c r="C21" s="62"/>
      <c r="D21" s="117" t="s">
        <v>1</v>
      </c>
      <c r="E21" s="62"/>
      <c r="F21" s="117" t="s">
        <v>1</v>
      </c>
      <c r="G21" s="70"/>
      <c r="H21" s="63"/>
      <c r="I21" s="64"/>
      <c r="J21" s="62" t="s">
        <v>1</v>
      </c>
      <c r="K21" s="62"/>
      <c r="L21" s="62"/>
      <c r="M21" s="62"/>
      <c r="N21" s="62"/>
      <c r="O21" s="65"/>
      <c r="P21" s="62"/>
      <c r="Q21" s="62"/>
      <c r="R21" s="62"/>
      <c r="S21" s="62"/>
      <c r="T21" s="67" t="s">
        <v>33</v>
      </c>
      <c r="U21" s="66"/>
      <c r="V21" s="67" t="s">
        <v>33</v>
      </c>
      <c r="W21" s="28"/>
      <c r="X21" s="28"/>
      <c r="AC21" s="2"/>
    </row>
    <row r="22" spans="2:30" ht="18" x14ac:dyDescent="0.35">
      <c r="B22" s="60"/>
      <c r="C22" s="120">
        <v>2025</v>
      </c>
      <c r="D22" s="120">
        <v>2024</v>
      </c>
      <c r="E22" s="119">
        <v>2023</v>
      </c>
      <c r="F22" s="119">
        <v>2022</v>
      </c>
      <c r="G22" s="119">
        <v>2021</v>
      </c>
      <c r="H22" s="120">
        <v>2020</v>
      </c>
      <c r="I22" s="120">
        <v>2019</v>
      </c>
      <c r="J22" s="121">
        <v>2018</v>
      </c>
      <c r="K22" s="122">
        <v>2017</v>
      </c>
      <c r="L22" s="123">
        <v>2016</v>
      </c>
      <c r="M22" s="123">
        <v>2015</v>
      </c>
      <c r="N22" s="124"/>
      <c r="O22" s="125">
        <v>2014</v>
      </c>
      <c r="P22" s="57"/>
      <c r="Q22" s="126"/>
      <c r="R22" s="121">
        <v>2025</v>
      </c>
      <c r="S22" s="137">
        <v>2024</v>
      </c>
      <c r="T22" s="119">
        <v>2023</v>
      </c>
      <c r="U22" s="127">
        <v>2022</v>
      </c>
      <c r="V22" s="127">
        <v>2021</v>
      </c>
      <c r="W22" s="42">
        <v>2020</v>
      </c>
      <c r="X22" s="42">
        <v>2019</v>
      </c>
      <c r="Y22" s="10">
        <v>2018</v>
      </c>
      <c r="Z22" s="10">
        <v>2017</v>
      </c>
      <c r="AA22" s="11">
        <v>2016</v>
      </c>
      <c r="AB22" s="11">
        <v>2015</v>
      </c>
      <c r="AC22" s="29">
        <v>2014</v>
      </c>
    </row>
    <row r="23" spans="2:30" ht="16.2" thickBot="1" x14ac:dyDescent="0.35">
      <c r="B23" s="13" t="s">
        <v>11</v>
      </c>
      <c r="C23" s="39"/>
      <c r="D23" s="39"/>
      <c r="E23" s="14"/>
      <c r="F23" s="39"/>
      <c r="G23" s="14"/>
      <c r="H23" s="14"/>
      <c r="I23" s="14"/>
      <c r="J23" s="14"/>
      <c r="K23" s="14"/>
      <c r="L23" s="14"/>
      <c r="M23" s="15"/>
      <c r="N23" s="15"/>
      <c r="O23" s="16"/>
      <c r="Q23" s="13" t="s">
        <v>12</v>
      </c>
      <c r="R23" s="39"/>
      <c r="S23" s="39"/>
      <c r="T23" s="14"/>
      <c r="U23" s="48"/>
      <c r="V23" s="48"/>
      <c r="W23" s="48"/>
      <c r="X23" s="48"/>
      <c r="Y23" s="14"/>
      <c r="Z23" s="14"/>
      <c r="AA23" s="15"/>
      <c r="AB23" s="15"/>
      <c r="AC23" s="30"/>
    </row>
    <row r="24" spans="2:30" x14ac:dyDescent="0.3">
      <c r="O24" s="2"/>
      <c r="U24" s="6"/>
      <c r="V24" s="49"/>
      <c r="W24" s="50"/>
      <c r="X24" s="6"/>
      <c r="AB24" s="2"/>
      <c r="AC24" s="2"/>
    </row>
    <row r="25" spans="2:30" ht="18" x14ac:dyDescent="0.35">
      <c r="B25" s="71" t="s">
        <v>46</v>
      </c>
      <c r="C25" s="154">
        <f>6524.83</f>
        <v>6524.83</v>
      </c>
      <c r="D25" s="73">
        <v>5819.3</v>
      </c>
      <c r="E25" s="72">
        <v>6152.26</v>
      </c>
      <c r="F25" s="73">
        <f>4199.86+100</f>
        <v>4299.8599999999997</v>
      </c>
      <c r="G25" s="73">
        <f>584+3210.6</f>
        <v>3794.6</v>
      </c>
      <c r="H25" s="73">
        <f>474+2945.67</f>
        <v>3419.67</v>
      </c>
      <c r="I25" s="73">
        <v>3525.04</v>
      </c>
      <c r="J25" s="74">
        <f>288+180+3382.02</f>
        <v>3850.02</v>
      </c>
      <c r="K25" s="74">
        <f>1667.72+100</f>
        <v>1767.72</v>
      </c>
      <c r="L25" s="74">
        <f>2355+415.88</f>
        <v>2770.88</v>
      </c>
      <c r="M25" s="74">
        <v>3200</v>
      </c>
      <c r="N25" s="74"/>
      <c r="O25" s="74">
        <v>0</v>
      </c>
      <c r="P25" s="74"/>
      <c r="Q25" s="74" t="s">
        <v>13</v>
      </c>
      <c r="R25" s="154">
        <v>15359.86</v>
      </c>
      <c r="S25" s="73">
        <v>15037.23</v>
      </c>
      <c r="T25" s="72">
        <f>13588.7+290.06</f>
        <v>13878.76</v>
      </c>
      <c r="U25" s="73">
        <v>13330.13</v>
      </c>
      <c r="V25" s="73">
        <f>15674.92-2500</f>
        <v>13174.92</v>
      </c>
      <c r="W25" s="43">
        <v>13489.59</v>
      </c>
      <c r="X25" s="43">
        <v>12828.48</v>
      </c>
      <c r="Y25" s="17">
        <f>20680.19-5500-2500</f>
        <v>12680.189999999999</v>
      </c>
      <c r="Z25" s="17">
        <f>10425.38+2088</f>
        <v>12513.38</v>
      </c>
      <c r="AA25" s="17">
        <v>12389.76</v>
      </c>
      <c r="AB25" s="17">
        <v>12287.77</v>
      </c>
      <c r="AC25" s="17">
        <v>12137</v>
      </c>
    </row>
    <row r="26" spans="2:30" ht="18" x14ac:dyDescent="0.35">
      <c r="B26" s="71" t="s">
        <v>14</v>
      </c>
      <c r="C26" s="154">
        <v>2949.88</v>
      </c>
      <c r="D26" s="73">
        <f>2090.53+190</f>
        <v>2280.5300000000002</v>
      </c>
      <c r="E26" s="72">
        <f>3880.1+149.69</f>
        <v>4029.79</v>
      </c>
      <c r="F26" s="73">
        <v>2808.62</v>
      </c>
      <c r="G26" s="73">
        <f>1089.76+87</f>
        <v>1176.76</v>
      </c>
      <c r="H26" s="73">
        <v>386.57</v>
      </c>
      <c r="I26" s="73">
        <v>5077.91</v>
      </c>
      <c r="J26" s="74">
        <f>1570.79+25.14</f>
        <v>1595.93</v>
      </c>
      <c r="K26" s="74"/>
      <c r="L26" s="74"/>
      <c r="M26" s="74"/>
      <c r="N26" s="74"/>
      <c r="O26" s="74"/>
      <c r="P26" s="74"/>
      <c r="Q26" s="74"/>
      <c r="R26" s="154"/>
      <c r="S26" s="73"/>
      <c r="T26" s="72"/>
      <c r="U26" s="73"/>
      <c r="V26" s="73"/>
      <c r="W26" s="43"/>
      <c r="X26" s="43"/>
      <c r="Y26" s="17"/>
      <c r="Z26" s="17"/>
      <c r="AA26" s="17"/>
      <c r="AB26" s="17"/>
      <c r="AC26" s="17"/>
    </row>
    <row r="27" spans="2:30" ht="18" x14ac:dyDescent="0.35">
      <c r="B27" s="71" t="s">
        <v>36</v>
      </c>
      <c r="C27" s="154"/>
      <c r="D27" s="73">
        <v>25.75</v>
      </c>
      <c r="E27" s="72">
        <f>122.25+120.7</f>
        <v>242.95</v>
      </c>
      <c r="F27" s="73"/>
      <c r="G27" s="73">
        <v>0</v>
      </c>
      <c r="H27" s="73">
        <v>0</v>
      </c>
      <c r="I27" s="73">
        <v>203.45</v>
      </c>
      <c r="J27" s="74">
        <f>251.34</f>
        <v>251.34</v>
      </c>
      <c r="K27" s="74">
        <f>398+100</f>
        <v>498</v>
      </c>
      <c r="L27" s="74">
        <v>432.9</v>
      </c>
      <c r="M27" s="74">
        <v>267.8</v>
      </c>
      <c r="N27" s="74"/>
      <c r="O27" s="74">
        <v>325.75</v>
      </c>
      <c r="P27" s="74"/>
      <c r="Q27" s="74" t="s">
        <v>47</v>
      </c>
      <c r="R27" s="154">
        <f>4041.95+4741.85</f>
        <v>8783.7999999999993</v>
      </c>
      <c r="S27" s="73">
        <f>3094.4+5227.31</f>
        <v>8321.7100000000009</v>
      </c>
      <c r="T27" s="72">
        <f>6358.21+1932.73</f>
        <v>8290.94</v>
      </c>
      <c r="U27" s="73">
        <f>668.15+5566.38</f>
        <v>6234.53</v>
      </c>
      <c r="V27" s="73">
        <f>3803.31+904.47-18.04</f>
        <v>4689.74</v>
      </c>
      <c r="W27" s="43">
        <f>3708.25+210</f>
        <v>3918.25</v>
      </c>
      <c r="X27" s="43">
        <v>4498.95</v>
      </c>
      <c r="Y27" s="17">
        <f>3654.45+140</f>
        <v>3794.45</v>
      </c>
      <c r="Z27" s="17">
        <v>3688.3</v>
      </c>
      <c r="AA27" s="17">
        <v>3448.8</v>
      </c>
      <c r="AB27" s="17">
        <v>2700</v>
      </c>
      <c r="AC27" s="17"/>
    </row>
    <row r="28" spans="2:30" ht="18" x14ac:dyDescent="0.35">
      <c r="B28" s="71" t="s">
        <v>15</v>
      </c>
      <c r="C28" s="154">
        <f>90.5</f>
        <v>90.5</v>
      </c>
      <c r="D28" s="73">
        <v>220.37</v>
      </c>
      <c r="E28" s="72">
        <f>79.48+14.49</f>
        <v>93.97</v>
      </c>
      <c r="F28" s="73">
        <v>216.6</v>
      </c>
      <c r="G28" s="73">
        <f>2575+25+37.5</f>
        <v>2637.5</v>
      </c>
      <c r="H28" s="73">
        <f>18.49+25</f>
        <v>43.489999999999995</v>
      </c>
      <c r="I28" s="73">
        <v>60</v>
      </c>
      <c r="J28" s="74">
        <v>2500</v>
      </c>
      <c r="K28" s="74"/>
      <c r="L28" s="74"/>
      <c r="M28" s="74"/>
      <c r="N28" s="74"/>
      <c r="O28" s="74"/>
      <c r="P28" s="74"/>
      <c r="Q28" s="74"/>
      <c r="R28" s="154"/>
      <c r="S28" s="73"/>
      <c r="T28" s="72"/>
      <c r="U28" s="73"/>
      <c r="V28" s="73">
        <v>2500</v>
      </c>
      <c r="W28" s="43"/>
      <c r="X28" s="43"/>
      <c r="Y28" s="17">
        <v>2500</v>
      </c>
      <c r="Z28" s="17"/>
      <c r="AA28" s="17"/>
      <c r="AB28" s="17"/>
      <c r="AC28" s="17"/>
    </row>
    <row r="29" spans="2:30" ht="18" x14ac:dyDescent="0.35">
      <c r="B29" s="71" t="s">
        <v>16</v>
      </c>
      <c r="C29" s="154">
        <f>1101.64+155+103.5</f>
        <v>1360.14</v>
      </c>
      <c r="D29" s="73">
        <f>64.44+74</f>
        <v>138.44</v>
      </c>
      <c r="E29" s="72">
        <f>1815+288.5</f>
        <v>2103.5</v>
      </c>
      <c r="F29" s="73">
        <f>206.59+45.99+832.41+75</f>
        <v>1159.99</v>
      </c>
      <c r="G29" s="73">
        <f>442.5+280+97.59</f>
        <v>820.09</v>
      </c>
      <c r="H29" s="73">
        <f>349.5 + 63</f>
        <v>412.5</v>
      </c>
      <c r="I29" s="73">
        <v>1298.5</v>
      </c>
      <c r="J29" s="74">
        <v>873.75</v>
      </c>
      <c r="K29" s="74">
        <f>761.17+503.52</f>
        <v>1264.69</v>
      </c>
      <c r="L29" s="74">
        <f>914.95+155</f>
        <v>1069.95</v>
      </c>
      <c r="M29" s="74">
        <f>1044.8-267.8+38.57</f>
        <v>815.57</v>
      </c>
      <c r="N29" s="74"/>
      <c r="O29" s="74">
        <v>1385.65</v>
      </c>
      <c r="P29" s="74"/>
      <c r="Q29" s="74" t="s">
        <v>17</v>
      </c>
      <c r="R29" s="154">
        <v>6889.8</v>
      </c>
      <c r="S29" s="73">
        <v>6081.72</v>
      </c>
      <c r="T29" s="72">
        <v>7087.95</v>
      </c>
      <c r="U29" s="73">
        <v>7581.45</v>
      </c>
      <c r="V29" s="73">
        <v>3352.45</v>
      </c>
      <c r="W29" s="43">
        <v>519.5</v>
      </c>
      <c r="X29" s="43">
        <v>15015.68</v>
      </c>
      <c r="Y29" s="17">
        <f>240+7263.89</f>
        <v>7503.89</v>
      </c>
      <c r="Z29" s="17"/>
      <c r="AA29" s="17"/>
      <c r="AB29" s="17"/>
      <c r="AC29" s="17"/>
    </row>
    <row r="30" spans="2:30" ht="18" x14ac:dyDescent="0.35">
      <c r="B30" s="71" t="s">
        <v>18</v>
      </c>
      <c r="C30" s="154">
        <f>1547.02+12.99</f>
        <v>1560.01</v>
      </c>
      <c r="D30" s="73">
        <f>1154.63+13</f>
        <v>1167.6300000000001</v>
      </c>
      <c r="E30" s="72">
        <f>1018.56+24.11</f>
        <v>1042.6699999999998</v>
      </c>
      <c r="F30" s="73">
        <f>751.45+2</f>
        <v>753.45</v>
      </c>
      <c r="G30" s="73">
        <f>2942.38+51.99</f>
        <v>2994.37</v>
      </c>
      <c r="H30" s="73">
        <v>731.67</v>
      </c>
      <c r="I30" s="73">
        <v>1274.54</v>
      </c>
      <c r="J30" s="74">
        <f>178.59+18.29+6.85+1390.02-25.14</f>
        <v>1568.61</v>
      </c>
      <c r="K30" s="74">
        <f>1054.54+36.59+36.59</f>
        <v>1127.7199999999998</v>
      </c>
      <c r="L30" s="74">
        <f>938.1+663.23</f>
        <v>1601.33</v>
      </c>
      <c r="M30" s="74">
        <v>1283.46</v>
      </c>
      <c r="N30" s="74"/>
      <c r="O30" s="74">
        <v>753.3</v>
      </c>
      <c r="P30" s="74"/>
      <c r="Q30" s="74" t="s">
        <v>19</v>
      </c>
      <c r="R30" s="154">
        <v>963.23</v>
      </c>
      <c r="S30" s="73">
        <v>1132.8</v>
      </c>
      <c r="T30" s="72">
        <f>1136+70</f>
        <v>1206</v>
      </c>
      <c r="U30" s="73">
        <v>1200.97</v>
      </c>
      <c r="V30" s="73">
        <f>493.4+75</f>
        <v>568.4</v>
      </c>
      <c r="W30" s="43">
        <v>633.26</v>
      </c>
      <c r="X30" s="43">
        <v>1282.5999999999999</v>
      </c>
      <c r="Y30" s="17">
        <f>537.05-240+9137.44</f>
        <v>9434.49</v>
      </c>
      <c r="Z30" s="17">
        <f>1166.5+1030+14014</f>
        <v>16210.5</v>
      </c>
      <c r="AA30" s="17">
        <f>1222.67+395</f>
        <v>1617.67</v>
      </c>
      <c r="AB30" s="17">
        <f>500+1223</f>
        <v>1723</v>
      </c>
      <c r="AC30" s="17">
        <v>400</v>
      </c>
    </row>
    <row r="31" spans="2:30" ht="18" x14ac:dyDescent="0.35">
      <c r="B31" s="71" t="s">
        <v>20</v>
      </c>
      <c r="C31" s="154">
        <v>7244.79</v>
      </c>
      <c r="D31" s="73">
        <v>6581.09</v>
      </c>
      <c r="E31" s="72">
        <v>6796.8</v>
      </c>
      <c r="F31" s="73">
        <v>5467.9</v>
      </c>
      <c r="G31" s="73">
        <f>5029.73</f>
        <v>5029.7299999999996</v>
      </c>
      <c r="H31" s="73">
        <v>4711.3999999999996</v>
      </c>
      <c r="I31" s="73">
        <v>4948</v>
      </c>
      <c r="J31" s="74">
        <f>75.9+4290.05</f>
        <v>4365.95</v>
      </c>
      <c r="K31" s="74">
        <f>3912.42+33.24</f>
        <v>3945.66</v>
      </c>
      <c r="L31" s="74">
        <f>5185.63+468.14</f>
        <v>5653.77</v>
      </c>
      <c r="M31" s="74">
        <f>2690.62+378.43</f>
        <v>3069.0499999999997</v>
      </c>
      <c r="N31" s="74"/>
      <c r="O31" s="74">
        <v>3324.85</v>
      </c>
      <c r="P31" s="74"/>
      <c r="Q31" s="74" t="s">
        <v>43</v>
      </c>
      <c r="R31" s="154"/>
      <c r="S31" s="73">
        <v>24841.31</v>
      </c>
      <c r="T31" s="72"/>
      <c r="U31" s="73"/>
      <c r="V31" s="73"/>
      <c r="W31" s="8"/>
      <c r="X31" s="47"/>
      <c r="Y31" s="2"/>
      <c r="Z31" s="17"/>
      <c r="AA31" s="17"/>
      <c r="AB31" s="17"/>
      <c r="AC31" s="17"/>
    </row>
    <row r="32" spans="2:30" ht="18" x14ac:dyDescent="0.35">
      <c r="B32" s="145" t="s">
        <v>21</v>
      </c>
      <c r="C32" s="155">
        <f>3970.02+428.66</f>
        <v>4398.68</v>
      </c>
      <c r="D32" s="143">
        <f>2569.69+279.18</f>
        <v>2848.87</v>
      </c>
      <c r="E32" s="76">
        <f>355.9+3959.28</f>
        <v>4315.18</v>
      </c>
      <c r="F32" s="77">
        <f>2359.63+510.3</f>
        <v>2869.9300000000003</v>
      </c>
      <c r="G32" s="77">
        <f>3685.2+165.95</f>
        <v>3851.1499999999996</v>
      </c>
      <c r="H32" s="73">
        <f>238.96+2214.72</f>
        <v>2453.6799999999998</v>
      </c>
      <c r="I32" s="73">
        <v>1984.22</v>
      </c>
      <c r="J32" s="74">
        <f>432.43+33+27.83+40.99+25+52.36+110.11+141.82</f>
        <v>863.54</v>
      </c>
      <c r="K32" s="74">
        <f>170.5+154.03+20.5</f>
        <v>345.03</v>
      </c>
      <c r="L32" s="74"/>
      <c r="M32" s="74"/>
      <c r="N32" s="74"/>
      <c r="O32" s="74"/>
      <c r="P32" s="74"/>
      <c r="Q32" s="74" t="s">
        <v>48</v>
      </c>
      <c r="R32" s="154">
        <v>445.57</v>
      </c>
      <c r="S32" s="73"/>
      <c r="T32" s="72"/>
      <c r="U32" s="73"/>
      <c r="V32" s="73"/>
      <c r="W32" s="8"/>
      <c r="X32" s="47"/>
      <c r="Y32" s="2"/>
      <c r="Z32" s="17"/>
      <c r="AA32" s="17"/>
      <c r="AB32" s="17"/>
      <c r="AC32" s="17"/>
    </row>
    <row r="33" spans="2:29" ht="18" x14ac:dyDescent="0.35">
      <c r="B33" s="71" t="s">
        <v>22</v>
      </c>
      <c r="C33" s="154">
        <f>444.98+35</f>
        <v>479.98</v>
      </c>
      <c r="D33" s="73">
        <f>672.39+129.32</f>
        <v>801.71</v>
      </c>
      <c r="E33" s="72">
        <f>144.21+488.5+204.19</f>
        <v>836.90000000000009</v>
      </c>
      <c r="F33" s="73">
        <f>150.71+84.53</f>
        <v>235.24</v>
      </c>
      <c r="G33" s="73">
        <v>455.06</v>
      </c>
      <c r="H33" s="73">
        <v>279.69</v>
      </c>
      <c r="I33" s="73">
        <v>234.4</v>
      </c>
      <c r="J33" s="74">
        <v>20.75</v>
      </c>
      <c r="K33" s="74">
        <v>79.13</v>
      </c>
      <c r="L33" s="74">
        <v>352.34</v>
      </c>
      <c r="M33" s="74"/>
      <c r="N33" s="74"/>
      <c r="O33" s="74"/>
      <c r="P33" s="74"/>
      <c r="Q33" s="74"/>
      <c r="R33" s="154"/>
      <c r="S33" s="73"/>
      <c r="T33" s="72"/>
      <c r="U33" s="73"/>
      <c r="V33" s="73"/>
      <c r="W33" s="8"/>
      <c r="X33" s="47"/>
      <c r="Y33" s="2"/>
      <c r="Z33" s="17"/>
      <c r="AA33" s="17"/>
      <c r="AB33" s="17"/>
      <c r="AC33" s="17"/>
    </row>
    <row r="34" spans="2:29" ht="18" x14ac:dyDescent="0.35">
      <c r="B34" s="71" t="s">
        <v>23</v>
      </c>
      <c r="C34" s="156">
        <v>3200</v>
      </c>
      <c r="D34" s="79">
        <v>3200</v>
      </c>
      <c r="E34" s="141">
        <v>3200</v>
      </c>
      <c r="F34" s="79">
        <v>3200</v>
      </c>
      <c r="G34" s="79">
        <v>3200</v>
      </c>
      <c r="H34" s="79">
        <v>3200</v>
      </c>
      <c r="I34" s="79">
        <v>3200</v>
      </c>
      <c r="J34" s="74">
        <v>3200</v>
      </c>
      <c r="K34" s="74">
        <v>3200</v>
      </c>
      <c r="L34" s="74">
        <v>3200</v>
      </c>
      <c r="M34" s="74">
        <v>3200</v>
      </c>
      <c r="N34" s="74"/>
      <c r="O34" s="74">
        <v>3200</v>
      </c>
      <c r="P34" s="74"/>
      <c r="Q34" s="74"/>
      <c r="R34" s="159"/>
      <c r="S34" s="73"/>
      <c r="T34" s="72"/>
      <c r="U34" s="73"/>
      <c r="V34" s="73"/>
      <c r="W34" s="8"/>
      <c r="X34" s="47"/>
      <c r="Y34" s="2"/>
      <c r="Z34" s="17"/>
      <c r="AA34" s="17"/>
      <c r="AB34" s="17"/>
      <c r="AC34" s="17"/>
    </row>
    <row r="35" spans="2:29" ht="18" x14ac:dyDescent="0.35">
      <c r="B35" s="71" t="s">
        <v>37</v>
      </c>
      <c r="C35" s="154">
        <f>71.38</f>
        <v>71.38</v>
      </c>
      <c r="D35" s="73">
        <v>329</v>
      </c>
      <c r="E35" s="72">
        <v>129.6</v>
      </c>
      <c r="F35" s="78"/>
      <c r="G35" s="78"/>
      <c r="H35" s="80">
        <v>0</v>
      </c>
      <c r="I35" s="73">
        <v>80</v>
      </c>
      <c r="J35" s="74">
        <f>25+55+17.5+91.96+50+3.5+15</f>
        <v>257.95999999999998</v>
      </c>
      <c r="K35" s="74">
        <f>73.64</f>
        <v>73.64</v>
      </c>
      <c r="L35" s="74">
        <f>24.99+50+23.99</f>
        <v>98.97999999999999</v>
      </c>
      <c r="M35" s="74">
        <f>333.01-50</f>
        <v>283.01</v>
      </c>
      <c r="N35" s="74"/>
      <c r="O35" s="74">
        <v>504.05</v>
      </c>
      <c r="P35" s="74"/>
      <c r="Q35" s="74"/>
      <c r="R35" s="159"/>
      <c r="S35" s="73"/>
      <c r="T35" s="72"/>
      <c r="U35" s="73"/>
      <c r="V35" s="73"/>
      <c r="W35" s="8"/>
      <c r="X35" s="47"/>
      <c r="Y35" s="2"/>
      <c r="Z35" s="17"/>
      <c r="AA35" s="17"/>
      <c r="AB35" s="17"/>
      <c r="AC35" s="17"/>
    </row>
    <row r="36" spans="2:29" ht="18" x14ac:dyDescent="0.35">
      <c r="B36" s="71" t="s">
        <v>24</v>
      </c>
      <c r="C36" s="157">
        <f>392.04+66.16</f>
        <v>458.20000000000005</v>
      </c>
      <c r="D36" s="73">
        <f>407.95+107.9</f>
        <v>515.85</v>
      </c>
      <c r="E36" s="72">
        <f>315.77+21.5+11.13+148.76</f>
        <v>497.15999999999997</v>
      </c>
      <c r="F36" s="78">
        <f>192.5+188.72</f>
        <v>381.22</v>
      </c>
      <c r="G36" s="78">
        <f>3640.71-25-97.59-280-37.5-442.5-2575+227.79</f>
        <v>410.90999999999985</v>
      </c>
      <c r="H36" s="78">
        <f>226.46-18.49-25+266.05</f>
        <v>449.02</v>
      </c>
      <c r="I36" s="73">
        <v>486.42</v>
      </c>
      <c r="J36" s="74">
        <f>356.64+183.86</f>
        <v>540.5</v>
      </c>
      <c r="K36" s="74">
        <f>508.17+392.14+193.38</f>
        <v>1093.69</v>
      </c>
      <c r="L36" s="74">
        <f>426.87+1089.8+129.15+67.83</f>
        <v>1713.65</v>
      </c>
      <c r="M36" s="74">
        <f>461+1169.45</f>
        <v>1630.45</v>
      </c>
      <c r="N36" s="74"/>
      <c r="O36" s="74">
        <f>1243.95+461</f>
        <v>1704.95</v>
      </c>
      <c r="P36" s="74"/>
      <c r="Q36" s="74"/>
      <c r="R36" s="159"/>
      <c r="S36" s="73"/>
      <c r="T36" s="81"/>
      <c r="U36" s="73"/>
      <c r="V36" s="73"/>
      <c r="W36" s="8"/>
      <c r="X36" s="47"/>
      <c r="Y36" s="2"/>
      <c r="Z36" s="17"/>
      <c r="AA36" s="17"/>
      <c r="AB36" s="2"/>
      <c r="AC36" s="2"/>
    </row>
    <row r="37" spans="2:29" ht="18" x14ac:dyDescent="0.35">
      <c r="B37" s="71" t="s">
        <v>25</v>
      </c>
      <c r="C37" s="156">
        <v>6172</v>
      </c>
      <c r="D37" s="79">
        <v>6172</v>
      </c>
      <c r="E37" s="141">
        <v>6172</v>
      </c>
      <c r="F37" s="79">
        <v>6172</v>
      </c>
      <c r="G37" s="79">
        <v>6172</v>
      </c>
      <c r="H37" s="79">
        <v>6172</v>
      </c>
      <c r="I37" s="79">
        <v>6172</v>
      </c>
      <c r="J37" s="74">
        <v>6172</v>
      </c>
      <c r="K37" s="74"/>
      <c r="L37" s="74"/>
      <c r="M37" s="74"/>
      <c r="N37" s="74"/>
      <c r="O37" s="74"/>
      <c r="P37" s="74"/>
      <c r="Q37" s="82"/>
      <c r="R37" s="160"/>
      <c r="S37" s="78"/>
      <c r="T37" s="83"/>
      <c r="U37" s="78"/>
      <c r="V37" s="78"/>
      <c r="W37" s="52"/>
      <c r="X37" s="51"/>
      <c r="Y37" s="31"/>
      <c r="Z37" s="19"/>
      <c r="AA37" s="19"/>
      <c r="AB37" s="31"/>
      <c r="AC37" s="32"/>
    </row>
    <row r="38" spans="2:29" ht="18" x14ac:dyDescent="0.35">
      <c r="B38" s="71" t="s">
        <v>42</v>
      </c>
      <c r="C38" s="154"/>
      <c r="D38" s="73">
        <v>28875.599999999999</v>
      </c>
      <c r="E38" s="84"/>
      <c r="F38" s="73"/>
      <c r="G38" s="73"/>
      <c r="H38" s="73"/>
      <c r="I38" s="73"/>
      <c r="J38" s="85"/>
      <c r="K38" s="85"/>
      <c r="L38" s="86"/>
      <c r="M38" s="87"/>
      <c r="N38" s="87"/>
      <c r="O38" s="88"/>
      <c r="P38" s="87"/>
      <c r="Q38" s="87"/>
      <c r="R38" s="161"/>
      <c r="S38" s="138"/>
      <c r="T38" s="89"/>
      <c r="U38" s="138"/>
      <c r="V38" s="138"/>
      <c r="W38" s="8"/>
      <c r="X38" s="47"/>
      <c r="Z38" s="17"/>
      <c r="AA38" s="17"/>
      <c r="AC38" s="2"/>
    </row>
    <row r="39" spans="2:29" ht="21" x14ac:dyDescent="0.4">
      <c r="B39" s="71" t="s">
        <v>26</v>
      </c>
      <c r="C39" s="172">
        <v>-2068.13</v>
      </c>
      <c r="D39" s="144">
        <f>D42</f>
        <v>-3561.37</v>
      </c>
      <c r="E39" s="134">
        <v>-5149.13</v>
      </c>
      <c r="F39" s="133">
        <f>F42</f>
        <v>782.27000000000044</v>
      </c>
      <c r="G39" s="134">
        <v>-6256.66</v>
      </c>
      <c r="H39" s="91">
        <v>-3699.09</v>
      </c>
      <c r="I39" s="92">
        <v>5081.2299999999996</v>
      </c>
      <c r="J39" s="85">
        <f>16024.67-6172</f>
        <v>9852.67</v>
      </c>
      <c r="K39" s="85">
        <v>5684.51</v>
      </c>
      <c r="L39" s="86">
        <v>562.42999999999995</v>
      </c>
      <c r="M39" s="85">
        <f>M42</f>
        <v>2961.4300000000003</v>
      </c>
      <c r="N39" s="85"/>
      <c r="O39" s="85">
        <f>O42</f>
        <v>1338.4500000000007</v>
      </c>
      <c r="P39" s="85"/>
      <c r="Q39" s="85"/>
      <c r="R39" s="161"/>
      <c r="S39" s="138"/>
      <c r="T39" s="89"/>
      <c r="U39" s="138"/>
      <c r="V39" s="138"/>
      <c r="W39" s="8"/>
      <c r="X39" s="47"/>
      <c r="Y39" s="17"/>
      <c r="Z39" s="17"/>
      <c r="AA39" s="17"/>
      <c r="AB39" s="17"/>
      <c r="AC39" s="17"/>
    </row>
    <row r="40" spans="2:29" ht="15.6" x14ac:dyDescent="0.3">
      <c r="B40" s="93" t="s">
        <v>27</v>
      </c>
      <c r="C40" s="158">
        <f t="shared" ref="C40:I40" si="2">SUM(C24:C39)</f>
        <v>32442.26</v>
      </c>
      <c r="D40" s="94">
        <f t="shared" si="2"/>
        <v>55414.77</v>
      </c>
      <c r="E40" s="94">
        <f t="shared" si="2"/>
        <v>30463.649999999998</v>
      </c>
      <c r="F40" s="95">
        <f t="shared" si="2"/>
        <v>28347.08</v>
      </c>
      <c r="G40" s="95">
        <f t="shared" si="2"/>
        <v>24285.51</v>
      </c>
      <c r="H40" s="95">
        <f t="shared" si="2"/>
        <v>18560.600000000002</v>
      </c>
      <c r="I40" s="95">
        <f t="shared" si="2"/>
        <v>33625.710000000006</v>
      </c>
      <c r="J40" s="96">
        <f>SUM(J24:J39)</f>
        <v>35913.020000000004</v>
      </c>
      <c r="K40" s="96">
        <f>SUM(K24:K39)</f>
        <v>19079.79</v>
      </c>
      <c r="L40" s="96">
        <f>SUM(L24:L39)</f>
        <v>17456.230000000003</v>
      </c>
      <c r="M40" s="96">
        <f>SUM(M24:M39)</f>
        <v>16710.77</v>
      </c>
      <c r="N40" s="96"/>
      <c r="O40" s="96">
        <f>SUM(O24:O39)</f>
        <v>12537</v>
      </c>
      <c r="P40" s="96"/>
      <c r="Q40" s="93" t="s">
        <v>27</v>
      </c>
      <c r="R40" s="158">
        <f t="shared" ref="R40:AC40" si="3">SUM(R24:R39)</f>
        <v>32442.26</v>
      </c>
      <c r="S40" s="94">
        <f t="shared" si="3"/>
        <v>55414.770000000004</v>
      </c>
      <c r="T40" s="97">
        <f t="shared" si="3"/>
        <v>30463.65</v>
      </c>
      <c r="U40" s="139">
        <f t="shared" si="3"/>
        <v>28347.08</v>
      </c>
      <c r="V40" s="140">
        <f t="shared" si="3"/>
        <v>24285.510000000002</v>
      </c>
      <c r="W40" s="44">
        <f t="shared" si="3"/>
        <v>18560.599999999999</v>
      </c>
      <c r="X40" s="44">
        <f t="shared" si="3"/>
        <v>33625.71</v>
      </c>
      <c r="Y40" s="33">
        <f t="shared" si="3"/>
        <v>35913.019999999997</v>
      </c>
      <c r="Z40" s="33">
        <f t="shared" si="3"/>
        <v>32412.18</v>
      </c>
      <c r="AA40" s="33">
        <f t="shared" si="3"/>
        <v>17456.230000000003</v>
      </c>
      <c r="AB40" s="33">
        <f t="shared" si="3"/>
        <v>16710.77</v>
      </c>
      <c r="AC40" s="33">
        <f t="shared" si="3"/>
        <v>12537</v>
      </c>
    </row>
    <row r="41" spans="2:29" ht="16.2" thickBot="1" x14ac:dyDescent="0.35">
      <c r="B41" s="3"/>
      <c r="C41" s="3"/>
      <c r="D41" s="34"/>
      <c r="E41" s="98"/>
      <c r="F41" s="99"/>
      <c r="G41" s="100"/>
      <c r="H41" s="45"/>
      <c r="I41" s="45"/>
      <c r="J41" s="3"/>
      <c r="K41" s="24"/>
      <c r="L41" s="3"/>
      <c r="M41" s="3"/>
      <c r="N41" s="3"/>
      <c r="O41" s="34"/>
      <c r="P41" s="3"/>
      <c r="Q41" s="3"/>
      <c r="R41" s="3"/>
      <c r="S41" s="3"/>
      <c r="T41" s="106"/>
      <c r="U41" s="99"/>
      <c r="V41" s="99"/>
      <c r="W41" s="45"/>
      <c r="X41" s="45"/>
      <c r="Y41" s="3"/>
      <c r="Z41" s="3"/>
      <c r="AA41" s="3"/>
      <c r="AB41" s="3"/>
      <c r="AC41" s="34"/>
    </row>
    <row r="42" spans="2:29" ht="21.6" thickTop="1" x14ac:dyDescent="0.4">
      <c r="B42" s="3" t="s">
        <v>28</v>
      </c>
      <c r="C42" s="153">
        <f>C39</f>
        <v>-2068.13</v>
      </c>
      <c r="D42" s="142">
        <v>-3561.37</v>
      </c>
      <c r="E42" s="90">
        <f t="shared" ref="E42:M42" si="4">T40-SUM(E24:E37)</f>
        <v>-5149.1299999999974</v>
      </c>
      <c r="F42" s="135">
        <f t="shared" si="4"/>
        <v>782.27000000000044</v>
      </c>
      <c r="G42" s="136">
        <f t="shared" si="4"/>
        <v>-6256.6599999999962</v>
      </c>
      <c r="H42" s="46">
        <f t="shared" si="4"/>
        <v>-3699.0900000000038</v>
      </c>
      <c r="I42" s="46">
        <f t="shared" si="4"/>
        <v>5081.2299999999959</v>
      </c>
      <c r="J42" s="24">
        <f t="shared" si="4"/>
        <v>9852.6699999999946</v>
      </c>
      <c r="K42" s="24">
        <f t="shared" si="4"/>
        <v>19016.900000000001</v>
      </c>
      <c r="L42" s="24">
        <f t="shared" si="4"/>
        <v>562.43000000000029</v>
      </c>
      <c r="M42" s="24">
        <f t="shared" si="4"/>
        <v>2961.4300000000003</v>
      </c>
      <c r="N42" s="24"/>
      <c r="O42" s="24">
        <f>AC40-SUM(O24:O37)</f>
        <v>1338.4500000000007</v>
      </c>
      <c r="P42" s="3"/>
      <c r="Q42" s="3"/>
      <c r="R42" s="3"/>
      <c r="S42" s="3"/>
      <c r="T42" s="93"/>
      <c r="U42" s="93"/>
      <c r="V42" s="93"/>
      <c r="W42" s="3"/>
      <c r="X42" s="3"/>
      <c r="Y42" s="3"/>
      <c r="Z42" s="3"/>
      <c r="AA42" s="3"/>
      <c r="AB42" s="3"/>
      <c r="AC42" s="34"/>
    </row>
    <row r="43" spans="2:29" x14ac:dyDescent="0.3">
      <c r="F43" s="6"/>
      <c r="G43" s="6"/>
      <c r="H43" s="47"/>
      <c r="I43" s="47"/>
      <c r="O43" s="2"/>
      <c r="AC43" s="2"/>
    </row>
    <row r="44" spans="2:29" ht="15.6" hidden="1" x14ac:dyDescent="0.3">
      <c r="B44" s="3" t="s">
        <v>29</v>
      </c>
      <c r="C44" s="3"/>
      <c r="D44" s="3"/>
      <c r="E44" s="3"/>
      <c r="F44" s="3"/>
      <c r="G44" s="3"/>
      <c r="H44" s="24"/>
      <c r="I44" s="24"/>
      <c r="J44" s="2">
        <v>32890.639999999999</v>
      </c>
      <c r="O44" s="2"/>
      <c r="Y44" s="2">
        <f>5500</f>
        <v>5500</v>
      </c>
      <c r="AC44" s="2"/>
    </row>
    <row r="45" spans="2:29" hidden="1" x14ac:dyDescent="0.3">
      <c r="H45" s="17"/>
      <c r="I45" s="17"/>
      <c r="O45" s="2"/>
      <c r="AC45" s="2"/>
    </row>
    <row r="46" spans="2:29" hidden="1" x14ac:dyDescent="0.3">
      <c r="H46" s="17"/>
      <c r="I46" s="17"/>
      <c r="J46" s="2">
        <f>SUM(J25:J37)+J44</f>
        <v>58950.990000000005</v>
      </c>
      <c r="O46" s="2"/>
      <c r="Y46" s="2">
        <f>SUM(Y25:Y37)+Y44</f>
        <v>41413.019999999997</v>
      </c>
      <c r="AC46" s="2"/>
    </row>
    <row r="47" spans="2:29" hidden="1" x14ac:dyDescent="0.3">
      <c r="B47" t="s">
        <v>30</v>
      </c>
      <c r="O47" s="2"/>
      <c r="Q47" t="s">
        <v>30</v>
      </c>
      <c r="AC47" s="2"/>
    </row>
    <row r="48" spans="2:29" ht="15.6" hidden="1" x14ac:dyDescent="0.3">
      <c r="B48" s="35"/>
      <c r="C48" s="35"/>
      <c r="D48" s="35"/>
      <c r="E48" s="35"/>
      <c r="F48" s="35"/>
      <c r="G48" s="35"/>
      <c r="H48" s="35"/>
      <c r="I48" s="35"/>
      <c r="J48" s="35"/>
      <c r="K48" s="31"/>
      <c r="L48" s="31"/>
      <c r="M48" s="31"/>
      <c r="N48" s="32"/>
      <c r="O48" s="31"/>
      <c r="P48" s="31"/>
      <c r="W48" s="7"/>
      <c r="AA48" s="2"/>
    </row>
    <row r="49" spans="2:27" hidden="1" x14ac:dyDescent="0.3">
      <c r="N49" s="2"/>
      <c r="AA49" s="2"/>
    </row>
    <row r="50" spans="2:27" hidden="1" x14ac:dyDescent="0.3">
      <c r="B50" t="s">
        <v>31</v>
      </c>
      <c r="Q50" t="s">
        <v>32</v>
      </c>
      <c r="V50" s="36"/>
      <c r="W50" s="37"/>
    </row>
    <row r="51" spans="2:27" x14ac:dyDescent="0.3">
      <c r="B51" s="58" t="s">
        <v>60</v>
      </c>
      <c r="C51" s="58"/>
      <c r="D51" s="58"/>
      <c r="E51" s="58"/>
      <c r="V51" s="36"/>
      <c r="W51" s="37"/>
    </row>
    <row r="52" spans="2:27" ht="15.6" x14ac:dyDescent="0.3">
      <c r="B52" s="167"/>
      <c r="C52" s="167"/>
      <c r="D52" s="167"/>
      <c r="E52" s="167"/>
      <c r="F52" s="162"/>
      <c r="G52" s="116" t="s">
        <v>1</v>
      </c>
      <c r="H52" s="114"/>
      <c r="I52" s="115"/>
      <c r="J52" s="115"/>
      <c r="K52" s="115"/>
      <c r="L52" s="115"/>
      <c r="M52" s="115"/>
      <c r="N52" s="115"/>
      <c r="O52" s="115"/>
      <c r="P52" s="115"/>
      <c r="Q52" s="115"/>
      <c r="R52" s="152"/>
      <c r="S52" s="151"/>
      <c r="T52" s="151"/>
      <c r="U52" s="146"/>
      <c r="V52" s="69"/>
      <c r="W52" s="37"/>
    </row>
    <row r="53" spans="2:27" ht="18" x14ac:dyDescent="0.35">
      <c r="B53" s="167"/>
      <c r="C53" s="167"/>
      <c r="D53" s="167"/>
      <c r="E53" s="167"/>
      <c r="F53" s="163"/>
      <c r="G53" s="75"/>
      <c r="H53" s="75"/>
      <c r="I53" s="87"/>
      <c r="J53" s="87"/>
      <c r="K53" s="87"/>
      <c r="L53" s="87"/>
      <c r="M53" s="87"/>
      <c r="N53" s="87"/>
      <c r="O53" s="87"/>
      <c r="P53" s="87"/>
      <c r="Q53" s="111" t="s">
        <v>57</v>
      </c>
      <c r="R53" s="112">
        <v>46022</v>
      </c>
      <c r="S53" s="112">
        <v>45658</v>
      </c>
      <c r="T53" s="112" t="s">
        <v>58</v>
      </c>
      <c r="U53" s="147"/>
      <c r="V53" s="36"/>
      <c r="W53" s="37"/>
    </row>
    <row r="54" spans="2:27" ht="18" x14ac:dyDescent="0.35">
      <c r="B54" s="168"/>
      <c r="C54" s="168"/>
      <c r="D54" s="168"/>
      <c r="E54" s="169"/>
      <c r="F54" s="164"/>
      <c r="G54" s="113"/>
      <c r="H54" s="38"/>
      <c r="Q54" s="110" t="s">
        <v>50</v>
      </c>
      <c r="R54" s="74">
        <v>281</v>
      </c>
      <c r="S54" s="74">
        <v>106.2</v>
      </c>
      <c r="T54" s="74">
        <f>SUM(R54-S54)</f>
        <v>174.8</v>
      </c>
      <c r="U54" s="148">
        <v>138.85</v>
      </c>
      <c r="V54" s="36"/>
      <c r="W54" s="37"/>
    </row>
    <row r="55" spans="2:27" ht="18" x14ac:dyDescent="0.35">
      <c r="B55" s="168"/>
      <c r="C55" s="168"/>
      <c r="D55" s="168"/>
      <c r="E55" s="169"/>
      <c r="F55" s="165"/>
      <c r="G55" s="108"/>
      <c r="H55" s="38"/>
      <c r="Q55" s="110" t="s">
        <v>51</v>
      </c>
      <c r="R55" s="74">
        <v>632.4</v>
      </c>
      <c r="S55" s="74">
        <v>14734.84</v>
      </c>
      <c r="T55" s="74">
        <f t="shared" ref="T55:T58" si="5">SUM(R55-S55)</f>
        <v>-14102.44</v>
      </c>
      <c r="U55" s="149">
        <v>4079.66</v>
      </c>
      <c r="V55" s="36"/>
      <c r="W55" s="37"/>
    </row>
    <row r="56" spans="2:27" ht="18" x14ac:dyDescent="0.35">
      <c r="B56" s="168"/>
      <c r="C56" s="168"/>
      <c r="D56" s="168"/>
      <c r="E56" s="169"/>
      <c r="F56" s="165"/>
      <c r="G56" s="108"/>
      <c r="H56" s="38"/>
      <c r="Q56" s="110" t="s">
        <v>52</v>
      </c>
      <c r="R56" s="74">
        <v>1399.19</v>
      </c>
      <c r="S56" s="74">
        <v>5533.93</v>
      </c>
      <c r="T56" s="74">
        <f t="shared" si="5"/>
        <v>-4134.74</v>
      </c>
      <c r="U56" s="149">
        <v>4033.6</v>
      </c>
      <c r="V56" s="36"/>
      <c r="W56" s="37"/>
    </row>
    <row r="57" spans="2:27" ht="18" x14ac:dyDescent="0.35">
      <c r="B57" s="168"/>
      <c r="C57" s="168"/>
      <c r="D57" s="168"/>
      <c r="E57" s="169"/>
      <c r="F57" s="165"/>
      <c r="G57" s="108"/>
      <c r="H57" s="38"/>
      <c r="Q57" s="110" t="s">
        <v>45</v>
      </c>
      <c r="R57" s="74">
        <v>43445.57</v>
      </c>
      <c r="S57" s="74">
        <v>20000</v>
      </c>
      <c r="T57" s="74">
        <f t="shared" si="5"/>
        <v>23445.57</v>
      </c>
      <c r="U57" s="149">
        <v>41445.57</v>
      </c>
      <c r="V57" s="36"/>
      <c r="W57" s="37"/>
    </row>
    <row r="58" spans="2:27" ht="18" x14ac:dyDescent="0.35">
      <c r="B58" s="168"/>
      <c r="C58" s="168"/>
      <c r="D58" s="168"/>
      <c r="E58" s="169"/>
      <c r="F58" s="165"/>
      <c r="G58" s="108"/>
      <c r="H58" s="38"/>
      <c r="Q58" s="110" t="s">
        <v>53</v>
      </c>
      <c r="R58" s="82">
        <v>-1962.97</v>
      </c>
      <c r="S58" s="74">
        <v>-3883.65</v>
      </c>
      <c r="T58" s="74">
        <f t="shared" si="5"/>
        <v>1920.68</v>
      </c>
      <c r="U58" s="149">
        <f>-U65</f>
        <v>-2307.9499999999998</v>
      </c>
      <c r="V58" s="36"/>
      <c r="W58" s="37"/>
    </row>
    <row r="59" spans="2:27" ht="18" x14ac:dyDescent="0.35">
      <c r="B59" s="168"/>
      <c r="C59" s="168"/>
      <c r="D59" s="168"/>
      <c r="E59" s="169"/>
      <c r="F59" s="165"/>
      <c r="G59" s="108"/>
      <c r="H59" s="38"/>
      <c r="Q59" s="110"/>
      <c r="R59" s="74"/>
      <c r="S59" s="74"/>
      <c r="T59" s="74"/>
      <c r="U59" s="149">
        <v>-312.23</v>
      </c>
      <c r="V59" s="36"/>
      <c r="W59" s="37"/>
    </row>
    <row r="60" spans="2:27" ht="18" x14ac:dyDescent="0.35">
      <c r="B60" s="168"/>
      <c r="C60" s="168"/>
      <c r="D60" s="168"/>
      <c r="E60" s="170"/>
      <c r="F60" s="165"/>
      <c r="G60" s="108"/>
      <c r="H60" s="38"/>
      <c r="Q60" s="111" t="s">
        <v>54</v>
      </c>
      <c r="R60" s="159">
        <f>SUM(R54:R59)</f>
        <v>43795.19</v>
      </c>
      <c r="S60" s="159">
        <f>SUM(S54:S59)</f>
        <v>36491.32</v>
      </c>
      <c r="T60" s="159">
        <f>SUM(T54:T59)</f>
        <v>7303.869999999999</v>
      </c>
      <c r="U60" s="150">
        <f>SUM(U54:U59)</f>
        <v>47077.5</v>
      </c>
      <c r="V60" s="36"/>
      <c r="W60" s="37"/>
    </row>
    <row r="61" spans="2:27" ht="18" x14ac:dyDescent="0.35">
      <c r="B61" s="168"/>
      <c r="C61" s="168"/>
      <c r="D61" s="168"/>
      <c r="E61" s="169"/>
      <c r="F61" s="165"/>
      <c r="G61" s="108"/>
      <c r="H61" s="38"/>
      <c r="Q61" s="110"/>
      <c r="R61" s="74"/>
      <c r="S61" s="74"/>
      <c r="T61" s="74"/>
      <c r="U61" s="147"/>
      <c r="V61" s="36"/>
      <c r="W61" s="37"/>
    </row>
    <row r="62" spans="2:27" ht="18" x14ac:dyDescent="0.35">
      <c r="B62" s="168"/>
      <c r="C62" s="168"/>
      <c r="D62" s="168"/>
      <c r="E62" s="169"/>
      <c r="F62" s="165"/>
      <c r="G62" s="108"/>
      <c r="H62" s="38"/>
      <c r="Q62" s="111" t="s">
        <v>35</v>
      </c>
      <c r="R62" s="159"/>
      <c r="S62" s="159"/>
      <c r="T62" s="159"/>
      <c r="U62" s="147"/>
    </row>
    <row r="63" spans="2:27" ht="18" x14ac:dyDescent="0.35">
      <c r="B63" s="168"/>
      <c r="C63" s="168"/>
      <c r="D63" s="168"/>
      <c r="E63" s="169"/>
      <c r="F63" s="165"/>
      <c r="G63" s="108"/>
      <c r="H63" s="38"/>
      <c r="Q63" s="112">
        <v>45658</v>
      </c>
      <c r="R63" s="159">
        <v>3883.65</v>
      </c>
      <c r="S63" s="159"/>
      <c r="T63" s="159"/>
      <c r="U63" s="149">
        <v>3883.65</v>
      </c>
    </row>
    <row r="64" spans="2:27" ht="18" x14ac:dyDescent="0.35">
      <c r="B64" s="168"/>
      <c r="C64" s="168"/>
      <c r="D64" s="168"/>
      <c r="E64" s="171"/>
      <c r="F64" s="165"/>
      <c r="G64" s="109"/>
      <c r="H64" s="40"/>
      <c r="I64" s="41"/>
      <c r="Q64" s="112" t="s">
        <v>56</v>
      </c>
      <c r="R64" s="160">
        <v>1920.68</v>
      </c>
      <c r="S64" s="74"/>
      <c r="T64" s="159"/>
      <c r="U64" s="149">
        <f>U63-U65</f>
        <v>1575.7000000000003</v>
      </c>
    </row>
    <row r="65" spans="2:21" ht="18" x14ac:dyDescent="0.35">
      <c r="B65" s="58"/>
      <c r="C65" s="58"/>
      <c r="D65" s="58"/>
      <c r="E65" s="105"/>
      <c r="F65" s="166"/>
      <c r="G65" s="87"/>
      <c r="I65" s="55"/>
      <c r="Q65" s="111" t="s">
        <v>55</v>
      </c>
      <c r="R65" s="159">
        <f>R63-R64</f>
        <v>1962.97</v>
      </c>
      <c r="S65" s="159"/>
      <c r="T65" s="74"/>
      <c r="U65" s="149">
        <v>2307.9499999999998</v>
      </c>
    </row>
    <row r="66" spans="2:21" ht="18" x14ac:dyDescent="0.35">
      <c r="H66" s="54" t="s">
        <v>34</v>
      </c>
      <c r="I66" s="56">
        <v>4686</v>
      </c>
    </row>
  </sheetData>
  <mergeCells count="3">
    <mergeCell ref="B20:AC20"/>
    <mergeCell ref="F18:AD18"/>
    <mergeCell ref="C3:AA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Versleijen</dc:creator>
  <cp:lastModifiedBy>Hay Versleijen</cp:lastModifiedBy>
  <cp:lastPrinted>2026-02-10T12:59:10Z</cp:lastPrinted>
  <dcterms:created xsi:type="dcterms:W3CDTF">2022-04-04T14:30:16Z</dcterms:created>
  <dcterms:modified xsi:type="dcterms:W3CDTF">2026-07-22T11:35:56Z</dcterms:modified>
</cp:coreProperties>
</file>